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66925"/>
  <mc:AlternateContent xmlns:mc="http://schemas.openxmlformats.org/markup-compatibility/2006">
    <mc:Choice Requires="x15">
      <x15ac:absPath xmlns:x15ac="http://schemas.microsoft.com/office/spreadsheetml/2010/11/ac" url="C:\Users\siddh\Desktop\Current Folder\C2\"/>
    </mc:Choice>
  </mc:AlternateContent>
  <xr:revisionPtr revIDLastSave="0" documentId="13_ncr:1_{2F756859-6337-474A-83CE-781F22CAA28B}" xr6:coauthVersionLast="47" xr6:coauthVersionMax="47" xr10:uidLastSave="{00000000-0000-0000-0000-000000000000}"/>
  <bookViews>
    <workbookView xWindow="-110" yWindow="-110" windowWidth="19420" windowHeight="1030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Progress'!$C$2:$N$3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21"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8" l="1"/>
  <c r="D47" i="8"/>
  <c r="D16" i="8"/>
  <c r="C10" i="8"/>
  <c r="F18" i="8" s="1"/>
  <c r="T5" i="2"/>
  <c r="G9" i="2"/>
  <c r="G10" i="2"/>
  <c r="F10" i="2"/>
  <c r="F9" i="2"/>
  <c r="G11" i="2"/>
  <c r="F11" i="2"/>
  <c r="G12" i="2"/>
  <c r="F12" i="2"/>
  <c r="G13" i="2"/>
  <c r="F13" i="2"/>
  <c r="G14" i="2"/>
  <c r="F14" i="2"/>
  <c r="G15" i="2"/>
  <c r="F15" i="2"/>
  <c r="G16" i="2"/>
  <c r="F16" i="2"/>
  <c r="G17" i="2"/>
  <c r="F17" i="2"/>
  <c r="G18" i="2"/>
  <c r="F18" i="2"/>
  <c r="G19" i="2"/>
  <c r="F19" i="2"/>
  <c r="G20" i="2"/>
  <c r="F20" i="2"/>
  <c r="G21" i="2"/>
  <c r="F21" i="2"/>
  <c r="G22" i="2"/>
  <c r="F22" i="2"/>
  <c r="G23" i="2"/>
  <c r="F23" i="2"/>
  <c r="G24" i="2"/>
  <c r="F24" i="2"/>
  <c r="G25" i="2"/>
  <c r="F25" i="2"/>
  <c r="G26" i="2"/>
  <c r="F26" i="2"/>
  <c r="G27" i="2"/>
  <c r="F27" i="2"/>
  <c r="G28" i="2"/>
  <c r="F28" i="2"/>
  <c r="G29" i="2"/>
  <c r="F29" i="2"/>
  <c r="G30" i="2"/>
  <c r="F30" i="2"/>
  <c r="G31" i="2"/>
  <c r="F31" i="2"/>
  <c r="G32" i="2"/>
  <c r="F32" i="2"/>
  <c r="G33" i="2"/>
  <c r="F33" i="2"/>
  <c r="G34" i="2"/>
  <c r="F34" i="2"/>
  <c r="G35" i="2"/>
  <c r="F35" i="2"/>
  <c r="G36" i="2"/>
  <c r="F36" i="2"/>
  <c r="G37" i="2"/>
  <c r="F37" i="2"/>
  <c r="G38" i="2"/>
  <c r="F38" i="2"/>
  <c r="G39" i="2"/>
  <c r="F39" i="2"/>
  <c r="G40" i="2"/>
  <c r="F40" i="2"/>
  <c r="G41" i="2"/>
  <c r="F41" i="2"/>
  <c r="G42" i="2"/>
  <c r="F42" i="2"/>
  <c r="G43" i="2"/>
  <c r="F43" i="2"/>
  <c r="G44" i="2"/>
  <c r="F44" i="2"/>
  <c r="G45" i="2"/>
  <c r="F45" i="2"/>
  <c r="G46" i="2"/>
  <c r="F46" i="2"/>
  <c r="G47" i="2"/>
  <c r="F47" i="2"/>
  <c r="G48" i="2"/>
  <c r="F48" i="2"/>
  <c r="G49" i="2"/>
  <c r="F49" i="2"/>
  <c r="G50" i="2"/>
  <c r="F50" i="2"/>
  <c r="T4" i="2"/>
  <c r="B5" i="5"/>
  <c r="L42" i="5"/>
  <c r="K42" i="5"/>
  <c r="J42" i="5"/>
  <c r="I42" i="5"/>
  <c r="H42" i="5"/>
  <c r="G42" i="5"/>
  <c r="F42" i="5"/>
  <c r="L41" i="5"/>
  <c r="K41" i="5"/>
  <c r="J41" i="5"/>
  <c r="I41" i="5"/>
  <c r="H41" i="5"/>
  <c r="G41" i="5"/>
  <c r="F41" i="5"/>
  <c r="L40" i="5"/>
  <c r="K40" i="5"/>
  <c r="J40" i="5"/>
  <c r="I40" i="5"/>
  <c r="H40" i="5"/>
  <c r="G40" i="5"/>
  <c r="F40" i="5"/>
  <c r="L39" i="5"/>
  <c r="K39" i="5"/>
  <c r="J39" i="5"/>
  <c r="I39" i="5"/>
  <c r="H39" i="5"/>
  <c r="G39" i="5"/>
  <c r="F39" i="5"/>
  <c r="L38" i="5"/>
  <c r="K38" i="5"/>
  <c r="J38" i="5"/>
  <c r="I38" i="5"/>
  <c r="H38" i="5"/>
  <c r="G38" i="5"/>
  <c r="F38" i="5"/>
  <c r="L37" i="5"/>
  <c r="K37" i="5"/>
  <c r="J37" i="5"/>
  <c r="I37" i="5"/>
  <c r="H37" i="5"/>
  <c r="G37" i="5"/>
  <c r="F37" i="5"/>
  <c r="L36" i="5"/>
  <c r="K36" i="5"/>
  <c r="J36" i="5"/>
  <c r="I36" i="5"/>
  <c r="H36" i="5"/>
  <c r="G36" i="5"/>
  <c r="F36" i="5"/>
  <c r="L35" i="5"/>
  <c r="K35" i="5"/>
  <c r="J35" i="5"/>
  <c r="I35" i="5"/>
  <c r="H35" i="5"/>
  <c r="G35" i="5"/>
  <c r="F35" i="5"/>
  <c r="L34" i="5"/>
  <c r="K34" i="5"/>
  <c r="J34" i="5"/>
  <c r="I34" i="5"/>
  <c r="H34" i="5"/>
  <c r="G34" i="5"/>
  <c r="F34" i="5"/>
  <c r="L33" i="5"/>
  <c r="K33" i="5"/>
  <c r="J33" i="5"/>
  <c r="I33" i="5"/>
  <c r="H33" i="5"/>
  <c r="G33" i="5"/>
  <c r="N42" i="5"/>
  <c r="N41" i="5"/>
  <c r="N40" i="5"/>
  <c r="N39" i="5"/>
  <c r="N38" i="5"/>
  <c r="N37" i="5"/>
  <c r="N36" i="5"/>
  <c r="N35" i="5"/>
  <c r="N34" i="5"/>
  <c r="N33" i="5"/>
  <c r="F33" i="5"/>
  <c r="AC4" i="2"/>
  <c r="AB4" i="2"/>
  <c r="AA4" i="2"/>
  <c r="Z4" i="2"/>
  <c r="Y4" i="2"/>
  <c r="X4" i="2"/>
  <c r="W4" i="2"/>
  <c r="AC5" i="2"/>
  <c r="AB5" i="2"/>
  <c r="AA5" i="2"/>
  <c r="Z5" i="2"/>
  <c r="Y5" i="2"/>
  <c r="X5" i="2"/>
  <c r="W5" i="2"/>
  <c r="V5" i="2"/>
  <c r="V4" i="2"/>
  <c r="AF46" i="2"/>
  <c r="AF9" i="2"/>
  <c r="AF10" i="2"/>
  <c r="AF11" i="2"/>
  <c r="AF49" i="2"/>
  <c r="AF50" i="2"/>
  <c r="AF34" i="2"/>
  <c r="AF35" i="2"/>
  <c r="AF16" i="2"/>
  <c r="AF17" i="2"/>
  <c r="AF14" i="2"/>
  <c r="AF15" i="2"/>
  <c r="AF18" i="2"/>
  <c r="AF47" i="2"/>
  <c r="AF48" i="2"/>
  <c r="AF12" i="2"/>
  <c r="AF13" i="2"/>
  <c r="AF33" i="2"/>
  <c r="AF32" i="2"/>
  <c r="AF25" i="2"/>
  <c r="AF20" i="2"/>
  <c r="AF19" i="2"/>
  <c r="AF22" i="2"/>
  <c r="AF23" i="2"/>
  <c r="AF24" i="2"/>
  <c r="AF31" i="2"/>
  <c r="AF26" i="2"/>
  <c r="AF38" i="2"/>
  <c r="AF39" i="2"/>
  <c r="AF40" i="2"/>
  <c r="AF45" i="2"/>
  <c r="AF36" i="2"/>
  <c r="AF37" i="2"/>
  <c r="AF21" i="2"/>
  <c r="AF42" i="2"/>
  <c r="AF44" i="2"/>
  <c r="AF41" i="2"/>
  <c r="AF29" i="2"/>
  <c r="AF43" i="2"/>
  <c r="AF27" i="2"/>
  <c r="AF30" i="2"/>
  <c r="AF28" i="2"/>
  <c r="U30" i="2"/>
  <c r="U32" i="2"/>
  <c r="AG32" i="2"/>
  <c r="AH32" i="2"/>
  <c r="AI32" i="2"/>
  <c r="AJ32" i="2"/>
  <c r="AJ9" i="2"/>
  <c r="AJ10" i="2"/>
  <c r="AJ11" i="2"/>
  <c r="AJ47" i="2"/>
  <c r="AJ48" i="2"/>
  <c r="AJ49" i="2"/>
  <c r="AJ50" i="2"/>
  <c r="AJ12" i="2"/>
  <c r="AJ13" i="2"/>
  <c r="AJ33" i="2"/>
  <c r="AJ34" i="2"/>
  <c r="AJ35" i="2"/>
  <c r="AJ25" i="2"/>
  <c r="AJ20" i="2"/>
  <c r="AJ21" i="2"/>
  <c r="AJ22" i="2"/>
  <c r="AJ23" i="2"/>
  <c r="AJ24" i="2"/>
  <c r="AJ31" i="2"/>
  <c r="AJ16" i="2"/>
  <c r="AJ17" i="2"/>
  <c r="AJ14" i="2"/>
  <c r="AJ15" i="2"/>
  <c r="AJ18" i="2"/>
  <c r="AJ19" i="2"/>
  <c r="AJ26" i="2"/>
  <c r="AJ36" i="2"/>
  <c r="AJ37" i="2"/>
  <c r="AJ38" i="2"/>
  <c r="AJ39" i="2"/>
  <c r="AJ40" i="2"/>
  <c r="AJ45" i="2"/>
  <c r="AJ42" i="2"/>
  <c r="AJ44" i="2"/>
  <c r="AJ46" i="2"/>
  <c r="AJ41" i="2"/>
  <c r="AJ43" i="2"/>
  <c r="AJ27" i="2"/>
  <c r="AJ28" i="2"/>
  <c r="AJ29" i="2"/>
  <c r="AJ30" i="2"/>
  <c r="F22" i="8"/>
  <c r="F21" i="8"/>
  <c r="F20" i="8" s="1"/>
  <c r="G16" i="8"/>
  <c r="D22" i="8"/>
  <c r="G22" i="8"/>
  <c r="D21" i="8"/>
  <c r="G21" i="8"/>
  <c r="D20" i="8"/>
  <c r="D68" i="8" s="1"/>
  <c r="D18" i="8"/>
  <c r="D31" i="8" s="1"/>
  <c r="C16" i="8"/>
  <c r="C18" i="8"/>
  <c r="C17" i="8" s="1"/>
  <c r="C19" i="8" s="1"/>
  <c r="C21" i="8"/>
  <c r="C31" i="8" s="1"/>
  <c r="M30" i="10" s="1"/>
  <c r="E21" i="8"/>
  <c r="AG46" i="2"/>
  <c r="AH46" i="2"/>
  <c r="AI46" i="2"/>
  <c r="AD5" i="2"/>
  <c r="F13" i="1"/>
  <c r="C21" i="1"/>
  <c r="C39" i="8"/>
  <c r="M29" i="10"/>
  <c r="C12" i="8"/>
  <c r="C40" i="8"/>
  <c r="C41" i="8"/>
  <c r="AI9" i="2"/>
  <c r="AI10" i="2"/>
  <c r="AI11" i="2"/>
  <c r="AI49" i="2"/>
  <c r="AI50" i="2"/>
  <c r="AI34" i="2"/>
  <c r="AI35" i="2"/>
  <c r="AI16" i="2"/>
  <c r="AI17" i="2"/>
  <c r="AI14" i="2"/>
  <c r="AI15" i="2"/>
  <c r="AI18" i="2"/>
  <c r="AI47" i="2"/>
  <c r="AI48" i="2"/>
  <c r="AI12" i="2"/>
  <c r="AI13" i="2"/>
  <c r="AI33" i="2"/>
  <c r="AI25" i="2"/>
  <c r="AI20" i="2"/>
  <c r="AI19" i="2"/>
  <c r="AI22" i="2"/>
  <c r="AI23" i="2"/>
  <c r="AI24" i="2"/>
  <c r="AI31" i="2"/>
  <c r="AI26" i="2"/>
  <c r="AI38" i="2"/>
  <c r="AI39" i="2"/>
  <c r="AI40" i="2"/>
  <c r="AI45" i="2"/>
  <c r="AI36" i="2"/>
  <c r="AI37" i="2"/>
  <c r="AI21" i="2"/>
  <c r="AI42" i="2"/>
  <c r="AI44" i="2"/>
  <c r="AI41" i="2"/>
  <c r="AI29" i="2"/>
  <c r="AI43" i="2"/>
  <c r="AI27" i="2"/>
  <c r="AI30" i="2"/>
  <c r="AI28" i="2"/>
  <c r="E42" i="5"/>
  <c r="D42" i="5"/>
  <c r="E41" i="5"/>
  <c r="D41" i="5"/>
  <c r="E40" i="5"/>
  <c r="D40" i="5"/>
  <c r="E39" i="5"/>
  <c r="D39" i="5"/>
  <c r="E38" i="5"/>
  <c r="D38" i="5"/>
  <c r="E37" i="5"/>
  <c r="D37" i="5"/>
  <c r="E36" i="5"/>
  <c r="D36" i="5"/>
  <c r="E35" i="5"/>
  <c r="D35" i="5"/>
  <c r="E34" i="5"/>
  <c r="D34" i="5"/>
  <c r="E33" i="5"/>
  <c r="E43" i="5" s="1"/>
  <c r="D33" i="5"/>
  <c r="L32" i="5"/>
  <c r="K32" i="5"/>
  <c r="J32" i="5"/>
  <c r="I32" i="5"/>
  <c r="H32" i="5"/>
  <c r="G32" i="5"/>
  <c r="E7" i="8"/>
  <c r="E4" i="8"/>
  <c r="F4" i="8" s="1"/>
  <c r="I4" i="8" s="1"/>
  <c r="H4" i="8" s="1"/>
  <c r="G4" i="8" s="1"/>
  <c r="G3" i="8"/>
  <c r="E3" i="8"/>
  <c r="T33" i="5"/>
  <c r="T37" i="5"/>
  <c r="T41" i="5"/>
  <c r="O36" i="5"/>
  <c r="O40" i="5"/>
  <c r="O33" i="5"/>
  <c r="O37" i="5"/>
  <c r="O41" i="5"/>
  <c r="T36" i="5"/>
  <c r="T40" i="5"/>
  <c r="T35" i="5"/>
  <c r="T39" i="5"/>
  <c r="T34" i="5"/>
  <c r="T38" i="5"/>
  <c r="T42" i="5"/>
  <c r="O35" i="5"/>
  <c r="O39" i="5"/>
  <c r="O34" i="5"/>
  <c r="O38" i="5"/>
  <c r="O42" i="5"/>
  <c r="K7" i="8"/>
  <c r="E6" i="8"/>
  <c r="E5" i="8"/>
  <c r="N43" i="5"/>
  <c r="K4" i="8"/>
  <c r="F7" i="8"/>
  <c r="I3" i="8"/>
  <c r="G43" i="5"/>
  <c r="H43" i="5"/>
  <c r="K43" i="5"/>
  <c r="I43" i="5"/>
  <c r="J43" i="5"/>
  <c r="F43" i="5"/>
  <c r="L43" i="5"/>
  <c r="K3" i="8"/>
  <c r="I7" i="8"/>
  <c r="K6" i="8"/>
  <c r="J7" i="8"/>
  <c r="F6" i="8"/>
  <c r="I6" i="8"/>
  <c r="H7" i="8"/>
  <c r="G7" i="8"/>
  <c r="F5" i="8"/>
  <c r="I5" i="8"/>
  <c r="H6" i="8"/>
  <c r="G6" i="8"/>
  <c r="J6" i="8"/>
  <c r="K5" i="8"/>
  <c r="AG9" i="2"/>
  <c r="AH9" i="2"/>
  <c r="AG10" i="2"/>
  <c r="AH10" i="2"/>
  <c r="AG11" i="2"/>
  <c r="AH11" i="2"/>
  <c r="AG49" i="2"/>
  <c r="AH49" i="2"/>
  <c r="AG50" i="2"/>
  <c r="AH50" i="2"/>
  <c r="AG34" i="2"/>
  <c r="AH34" i="2"/>
  <c r="AG35" i="2"/>
  <c r="AH35" i="2"/>
  <c r="AG16" i="2"/>
  <c r="AH16" i="2"/>
  <c r="AG17" i="2"/>
  <c r="AH17" i="2"/>
  <c r="AG14" i="2"/>
  <c r="AH14" i="2"/>
  <c r="AG15" i="2"/>
  <c r="AH15" i="2"/>
  <c r="AG18" i="2"/>
  <c r="AH18" i="2"/>
  <c r="AG47" i="2"/>
  <c r="AH47" i="2"/>
  <c r="AG48" i="2"/>
  <c r="AH48" i="2"/>
  <c r="AG12" i="2"/>
  <c r="AH12" i="2"/>
  <c r="AG13" i="2"/>
  <c r="AH13" i="2"/>
  <c r="AG33" i="2"/>
  <c r="AH33" i="2"/>
  <c r="AG41" i="2"/>
  <c r="AH41" i="2"/>
  <c r="AG42" i="2"/>
  <c r="AH42" i="2"/>
  <c r="AG43" i="2"/>
  <c r="AH43" i="2"/>
  <c r="AG44" i="2"/>
  <c r="AH44" i="2"/>
  <c r="AG19" i="2"/>
  <c r="AH19" i="2"/>
  <c r="AG20" i="2"/>
  <c r="AH20" i="2"/>
  <c r="AG21" i="2"/>
  <c r="AH21" i="2"/>
  <c r="AG22" i="2"/>
  <c r="AH22" i="2"/>
  <c r="AG23" i="2"/>
  <c r="AH23" i="2"/>
  <c r="AG24" i="2"/>
  <c r="AH24" i="2"/>
  <c r="AG25" i="2"/>
  <c r="AH25" i="2"/>
  <c r="AG26" i="2"/>
  <c r="AH26" i="2"/>
  <c r="AG27" i="2"/>
  <c r="AH27" i="2"/>
  <c r="AG28" i="2"/>
  <c r="AH28" i="2"/>
  <c r="AG29" i="2"/>
  <c r="AH29" i="2"/>
  <c r="AG30" i="2"/>
  <c r="AH30" i="2"/>
  <c r="AG31" i="2"/>
  <c r="AH31" i="2"/>
  <c r="AG36" i="2"/>
  <c r="AH36" i="2"/>
  <c r="AG37" i="2"/>
  <c r="AH37" i="2"/>
  <c r="AG38" i="2"/>
  <c r="AH38" i="2"/>
  <c r="AG39" i="2"/>
  <c r="AH39" i="2"/>
  <c r="AG40" i="2"/>
  <c r="AH40" i="2"/>
  <c r="AG45" i="2"/>
  <c r="AH45" i="2"/>
  <c r="M41" i="5"/>
  <c r="M37" i="5"/>
  <c r="AG37" i="5"/>
  <c r="M36" i="5"/>
  <c r="AG36" i="5"/>
  <c r="M34" i="5"/>
  <c r="AG34" i="5"/>
  <c r="M33" i="5"/>
  <c r="AG33" i="5"/>
  <c r="M40" i="5"/>
  <c r="AG40" i="5"/>
  <c r="M39" i="5"/>
  <c r="AG39" i="5"/>
  <c r="M38" i="5"/>
  <c r="AG38" i="5"/>
  <c r="M35" i="5"/>
  <c r="AG35" i="5"/>
  <c r="AG41" i="5"/>
  <c r="M43" i="5"/>
  <c r="AD2" i="2"/>
  <c r="T6" i="2"/>
  <c r="M6" i="2"/>
  <c r="M42" i="5"/>
  <c r="AG42" i="5"/>
  <c r="S6" i="2"/>
  <c r="R6" i="2"/>
  <c r="Q6" i="2"/>
  <c r="P6" i="2"/>
  <c r="O6" i="2"/>
  <c r="N6" i="2"/>
  <c r="X42" i="5"/>
  <c r="X41" i="5"/>
  <c r="X40" i="5"/>
  <c r="X39" i="5"/>
  <c r="X38" i="5"/>
  <c r="X37" i="5"/>
  <c r="X36" i="5"/>
  <c r="X35" i="5"/>
  <c r="X34" i="5"/>
  <c r="X33" i="5"/>
  <c r="Q42" i="5"/>
  <c r="Q41" i="5"/>
  <c r="Q40" i="5"/>
  <c r="Q39" i="5"/>
  <c r="Q38" i="5"/>
  <c r="Q37" i="5"/>
  <c r="Q36" i="5"/>
  <c r="Q35" i="5"/>
  <c r="Q34" i="5"/>
  <c r="Q33" i="5"/>
  <c r="D54" i="8"/>
  <c r="C4" i="8"/>
  <c r="D51" i="8"/>
  <c r="C51" i="8"/>
  <c r="D65" i="8"/>
  <c r="C65" i="8"/>
  <c r="C47" i="8"/>
  <c r="E47" i="8"/>
  <c r="D61" i="8"/>
  <c r="U46" i="2"/>
  <c r="D58" i="8"/>
  <c r="C3" i="8"/>
  <c r="C5" i="8"/>
  <c r="C6" i="8"/>
  <c r="C61" i="8"/>
  <c r="E61" i="8"/>
  <c r="U34" i="5"/>
  <c r="U38" i="5"/>
  <c r="U42" i="5"/>
  <c r="AE35" i="5"/>
  <c r="U39" i="5"/>
  <c r="U36" i="5"/>
  <c r="AE33" i="5"/>
  <c r="U40" i="5"/>
  <c r="AC34" i="5"/>
  <c r="AC38" i="5"/>
  <c r="AE34" i="5"/>
  <c r="AA38" i="5"/>
  <c r="AA34" i="5"/>
  <c r="S33" i="5"/>
  <c r="S37" i="5"/>
  <c r="S41" i="5"/>
  <c r="AC42" i="5"/>
  <c r="AC35" i="5"/>
  <c r="AC39" i="5"/>
  <c r="AA41" i="5"/>
  <c r="AA37" i="5"/>
  <c r="AA33" i="5"/>
  <c r="S40" i="5"/>
  <c r="S34" i="5"/>
  <c r="S38" i="5"/>
  <c r="S42" i="5"/>
  <c r="AC36" i="5"/>
  <c r="AC40" i="5"/>
  <c r="AA40" i="5"/>
  <c r="AA36" i="5"/>
  <c r="S36" i="5"/>
  <c r="AA42" i="5"/>
  <c r="S35" i="5"/>
  <c r="S39" i="5"/>
  <c r="AC33" i="5"/>
  <c r="AC37" i="5"/>
  <c r="AC41" i="5"/>
  <c r="AA39" i="5"/>
  <c r="AA35" i="5"/>
  <c r="AE37" i="5"/>
  <c r="AE41" i="5"/>
  <c r="U15" i="2"/>
  <c r="U14" i="2"/>
  <c r="U18" i="2"/>
  <c r="U45" i="2"/>
  <c r="U44" i="2"/>
  <c r="U11" i="2"/>
  <c r="U16" i="2"/>
  <c r="U21" i="2"/>
  <c r="U25" i="2"/>
  <c r="U48" i="2"/>
  <c r="U24" i="2"/>
  <c r="U29" i="2"/>
  <c r="U43" i="2"/>
  <c r="U41" i="2"/>
  <c r="U49" i="2"/>
  <c r="U17" i="2"/>
  <c r="U47" i="2"/>
  <c r="U12" i="2"/>
  <c r="U23" i="2"/>
  <c r="U36" i="2"/>
  <c r="U10" i="2"/>
  <c r="U13" i="2"/>
  <c r="U37" i="2"/>
  <c r="U42" i="2"/>
  <c r="U40" i="2"/>
  <c r="U20" i="2"/>
  <c r="U26" i="2"/>
  <c r="U19" i="2"/>
  <c r="U39" i="2"/>
  <c r="U34" i="2"/>
  <c r="U27" i="2"/>
  <c r="U28" i="2"/>
  <c r="U9" i="2"/>
  <c r="U50" i="2"/>
  <c r="U31" i="2"/>
  <c r="U38" i="2"/>
  <c r="U33" i="2"/>
  <c r="U22" i="2"/>
  <c r="U35" i="2"/>
  <c r="U5" i="2"/>
  <c r="R41" i="5"/>
  <c r="R37" i="5"/>
  <c r="R39" i="5"/>
  <c r="R35" i="5"/>
  <c r="Y39" i="5"/>
  <c r="Y35" i="5"/>
  <c r="Y42" i="5"/>
  <c r="Y38" i="5"/>
  <c r="Y34" i="5"/>
  <c r="R36" i="5"/>
  <c r="R40" i="5"/>
  <c r="Y41" i="5"/>
  <c r="Y37" i="5"/>
  <c r="Y40" i="5"/>
  <c r="Y36" i="5"/>
  <c r="R34" i="5"/>
  <c r="R38" i="5"/>
  <c r="R42" i="5"/>
  <c r="Y33" i="5"/>
  <c r="D55" i="8"/>
  <c r="C55" i="8" s="1"/>
  <c r="E55" i="8" s="1"/>
  <c r="D56" i="8"/>
  <c r="C58" i="8"/>
  <c r="AE38" i="5"/>
  <c r="AE39" i="5"/>
  <c r="U35" i="5"/>
  <c r="AE36" i="5"/>
  <c r="U33" i="5"/>
  <c r="AE42" i="5"/>
  <c r="AE40" i="5"/>
  <c r="U41" i="5"/>
  <c r="U37" i="5"/>
  <c r="R33" i="5"/>
  <c r="R43" i="5"/>
  <c r="P33" i="5"/>
  <c r="P42" i="5"/>
  <c r="P41" i="5"/>
  <c r="P40" i="5"/>
  <c r="P39" i="5"/>
  <c r="P38" i="5"/>
  <c r="P37" i="5"/>
  <c r="P36" i="5"/>
  <c r="P35" i="5"/>
  <c r="P34" i="5"/>
  <c r="D32" i="8" l="1"/>
  <c r="Q29" i="10" s="1"/>
  <c r="G20" i="8"/>
  <c r="C24" i="8"/>
  <c r="G30" i="10" s="1"/>
  <c r="C54" i="8"/>
  <c r="E54" i="8" s="1"/>
  <c r="D43" i="5"/>
  <c r="D72" i="8"/>
  <c r="C56" i="8"/>
  <c r="E56" i="8" s="1"/>
  <c r="J4" i="8"/>
  <c r="D30" i="8"/>
  <c r="D57" i="8"/>
  <c r="C57" i="8" s="1"/>
  <c r="E57" i="8" s="1"/>
  <c r="J5" i="8"/>
  <c r="E31" i="8"/>
  <c r="D17" i="8"/>
  <c r="D24" i="8" s="1"/>
  <c r="C11" i="8"/>
  <c r="C26" i="8"/>
  <c r="K30" i="10"/>
  <c r="D26" i="8"/>
  <c r="U29" i="10"/>
  <c r="F32" i="8"/>
  <c r="F29" i="8"/>
  <c r="F17" i="8"/>
  <c r="C22" i="8"/>
  <c r="E16" i="8"/>
  <c r="D49" i="8"/>
  <c r="C29" i="8"/>
  <c r="I30" i="10" s="1"/>
  <c r="D48" i="8"/>
  <c r="C48" i="8" s="1"/>
  <c r="E48" i="8" s="1"/>
  <c r="F31" i="8"/>
  <c r="H5" i="8"/>
  <c r="D29" i="8"/>
  <c r="C68" i="8" l="1"/>
  <c r="E68" i="8" s="1"/>
  <c r="C72" i="8"/>
  <c r="D27" i="8"/>
  <c r="O29" i="10" s="1"/>
  <c r="D19" i="8"/>
  <c r="D50" i="8"/>
  <c r="C50" i="8" s="1"/>
  <c r="E50" i="8" s="1"/>
  <c r="C49" i="8"/>
  <c r="E49" i="8" s="1"/>
  <c r="I32" i="10"/>
  <c r="G29" i="8"/>
  <c r="G29" i="10"/>
  <c r="E24" i="8"/>
  <c r="G31" i="10" s="1"/>
  <c r="C27" i="8"/>
  <c r="E22" i="8"/>
  <c r="D63" i="8"/>
  <c r="C32" i="8"/>
  <c r="C20" i="8"/>
  <c r="D62" i="8"/>
  <c r="C62" i="8" s="1"/>
  <c r="E62" i="8" s="1"/>
  <c r="I29" i="10"/>
  <c r="E29" i="8"/>
  <c r="F24" i="8"/>
  <c r="C42" i="8"/>
  <c r="F26" i="8"/>
  <c r="F19" i="8"/>
  <c r="F27" i="8"/>
  <c r="C8" i="8"/>
  <c r="G5" i="8"/>
  <c r="H8" i="8"/>
  <c r="M32" i="10"/>
  <c r="G31" i="8"/>
  <c r="F30" i="8"/>
  <c r="G30" i="8" s="1"/>
  <c r="G32" i="8"/>
  <c r="Q32" i="10"/>
  <c r="U32" i="10" s="1"/>
  <c r="K29" i="10"/>
  <c r="S29" i="10" s="1"/>
  <c r="E26" i="8"/>
  <c r="K31" i="10" s="1"/>
  <c r="D25" i="8" l="1"/>
  <c r="G27" i="8"/>
  <c r="O33" i="10" s="1"/>
  <c r="O32" i="10"/>
  <c r="D69" i="8"/>
  <c r="C69" i="8" s="1"/>
  <c r="E69" i="8" s="1"/>
  <c r="E20" i="8"/>
  <c r="D70" i="8"/>
  <c r="O30" i="10"/>
  <c r="S30" i="10" s="1"/>
  <c r="C25" i="8"/>
  <c r="E27" i="8"/>
  <c r="O31" i="10" s="1"/>
  <c r="E32" i="8"/>
  <c r="C30" i="8"/>
  <c r="E30" i="8" s="1"/>
  <c r="Q30" i="10"/>
  <c r="U30" i="10" s="1"/>
  <c r="K32" i="10"/>
  <c r="F25" i="8"/>
  <c r="G25" i="8" s="1"/>
  <c r="S33" i="10" s="1"/>
  <c r="G26" i="8"/>
  <c r="K33" i="10" s="1"/>
  <c r="D64" i="8"/>
  <c r="C64" i="8" s="1"/>
  <c r="E64" i="8" s="1"/>
  <c r="C63" i="8"/>
  <c r="E63" i="8" s="1"/>
  <c r="G32" i="10"/>
  <c r="G24" i="8"/>
  <c r="G33" i="10" s="1"/>
  <c r="E25" i="8"/>
  <c r="S31" i="10" s="1"/>
  <c r="D9"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10" i="2"/>
  <c r="C36" i="8"/>
  <c r="C35" i="8"/>
  <c r="S7" i="10" s="1"/>
  <c r="C50" i="2" l="1"/>
  <c r="E50" i="2"/>
  <c r="C45" i="2"/>
  <c r="E45" i="2"/>
  <c r="C48" i="2"/>
  <c r="E48" i="2"/>
  <c r="C44" i="2"/>
  <c r="E44" i="2"/>
  <c r="C40" i="2"/>
  <c r="E40" i="2"/>
  <c r="C36" i="2"/>
  <c r="E36" i="2"/>
  <c r="C32" i="2"/>
  <c r="E32" i="2"/>
  <c r="C28" i="2"/>
  <c r="E28" i="2"/>
  <c r="C24" i="2"/>
  <c r="E24" i="2"/>
  <c r="C20" i="2"/>
  <c r="E20" i="2"/>
  <c r="C16" i="2"/>
  <c r="E16" i="2"/>
  <c r="C12" i="2"/>
  <c r="E12" i="2"/>
  <c r="S32" i="10"/>
  <c r="E46" i="2"/>
  <c r="C46" i="2"/>
  <c r="C42" i="2"/>
  <c r="E42" i="2"/>
  <c r="E38" i="2"/>
  <c r="C38" i="2"/>
  <c r="C34" i="2"/>
  <c r="E34" i="2"/>
  <c r="E30" i="2"/>
  <c r="C30" i="2"/>
  <c r="C26" i="2"/>
  <c r="E26" i="2"/>
  <c r="E22" i="2"/>
  <c r="C22" i="2"/>
  <c r="C18" i="2"/>
  <c r="E18" i="2"/>
  <c r="E14" i="2"/>
  <c r="C14" i="2"/>
  <c r="E9" i="2"/>
  <c r="C9" i="2"/>
  <c r="C49" i="2"/>
  <c r="E49" i="2"/>
  <c r="E41" i="2"/>
  <c r="C41" i="2"/>
  <c r="E37" i="2"/>
  <c r="C37" i="2"/>
  <c r="C33" i="2"/>
  <c r="E33" i="2"/>
  <c r="C29" i="2"/>
  <c r="E29" i="2"/>
  <c r="E25" i="2"/>
  <c r="C25" i="2"/>
  <c r="C21" i="2"/>
  <c r="E21" i="2"/>
  <c r="E17" i="2"/>
  <c r="C17" i="2"/>
  <c r="E13" i="2"/>
  <c r="C13" i="2"/>
  <c r="E10" i="2"/>
  <c r="C10" i="2"/>
  <c r="E47" i="2"/>
  <c r="C47" i="2"/>
  <c r="E43" i="2"/>
  <c r="C43" i="2"/>
  <c r="E39" i="2"/>
  <c r="C39" i="2"/>
  <c r="E35" i="2"/>
  <c r="C35" i="2"/>
  <c r="E31" i="2"/>
  <c r="C31" i="2"/>
  <c r="E27" i="2"/>
  <c r="C27" i="2"/>
  <c r="E23" i="2"/>
  <c r="C23" i="2"/>
  <c r="E19" i="2"/>
  <c r="C19" i="2"/>
  <c r="E15" i="2"/>
  <c r="C15" i="2"/>
  <c r="E11" i="2"/>
  <c r="C11" i="2"/>
  <c r="C70" i="8"/>
  <c r="E70" i="8" s="1"/>
  <c r="D71" i="8"/>
  <c r="C71" i="8" s="1"/>
  <c r="E7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<sst xmlns="http://schemas.openxmlformats.org/spreadsheetml/2006/main" count="738" uniqueCount="231">
  <si>
    <t>Candidate Name:</t>
  </si>
  <si>
    <t>Date of Exam:</t>
  </si>
  <si>
    <t>Date of Beginning Preparation:</t>
  </si>
  <si>
    <t>Subject</t>
  </si>
  <si>
    <t>Reading</t>
  </si>
  <si>
    <t>Topic</t>
  </si>
  <si>
    <t>U</t>
  </si>
  <si>
    <t>Total</t>
  </si>
  <si>
    <t>Performance Review</t>
  </si>
  <si>
    <t>Quants</t>
  </si>
  <si>
    <t>Ethics</t>
  </si>
  <si>
    <t>Economics</t>
  </si>
  <si>
    <t>Portfolio</t>
  </si>
  <si>
    <t>Equity</t>
  </si>
  <si>
    <t>Fixed Income</t>
  </si>
  <si>
    <t>Derivatives</t>
  </si>
  <si>
    <t>Total Chapters</t>
  </si>
  <si>
    <t>Order of Study</t>
  </si>
  <si>
    <t>Done</t>
  </si>
  <si>
    <t>Undone</t>
  </si>
  <si>
    <t>Syllubus(D)</t>
  </si>
  <si>
    <t>Syllubus(T)</t>
  </si>
  <si>
    <t>Practice(D)</t>
  </si>
  <si>
    <t>Practice(T)</t>
  </si>
  <si>
    <t>Practice</t>
  </si>
  <si>
    <t>Done (P)</t>
  </si>
  <si>
    <t>Undone(P)</t>
  </si>
  <si>
    <t>Undone(S)</t>
  </si>
  <si>
    <t>Lectures</t>
  </si>
  <si>
    <t>Self Study</t>
  </si>
  <si>
    <t>Institute EOC Questions</t>
  </si>
  <si>
    <t>Revision</t>
  </si>
  <si>
    <t>Institute Online Portal</t>
  </si>
  <si>
    <t>Practice Book</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</si>
  <si>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</si>
  <si>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</si>
  <si>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</si>
  <si>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</si>
  <si>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</si>
  <si>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</si>
  <si>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</si>
  <si>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</si>
  <si>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</si>
  <si>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</si>
  <si>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</si>
  <si>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</si>
  <si>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</si>
  <si>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</si>
  <si>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</si>
  <si>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</si>
  <si>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</si>
  <si>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</si>
  <si>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</si>
  <si>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</si>
  <si>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</si>
  <si>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</si>
  <si>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</si>
  <si>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</si>
  <si>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</si>
  <si>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</si>
  <si>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</si>
  <si>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</si>
  <si>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</si>
  <si>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Schweser Practice Book 1</t>
  </si>
  <si>
    <t>Schweser Practice Book 2</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</si>
  <si>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</si>
  <si>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</si>
  <si>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</si>
  <si>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</si>
  <si>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</si>
  <si>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</si>
  <si>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</si>
  <si>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</si>
  <si>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</si>
  <si>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</si>
  <si>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</si>
  <si>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</si>
  <si>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</si>
  <si>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</si>
  <si>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</si>
  <si>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</si>
  <si>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</si>
  <si>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</si>
  <si>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</si>
  <si>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</si>
  <si>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</si>
  <si>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</si>
  <si>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</si>
  <si>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</si>
  <si>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</si>
  <si>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</si>
  <si>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</si>
  <si>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you a rough approximation of the </t>
    </r>
    <r>
      <rPr>
        <b/>
        <sz val="11"/>
        <color theme="1"/>
        <rFont val="Tw Cen MT"/>
        <family val="2"/>
      </rPr>
      <t>‘%’ of lectures completed</t>
    </r>
    <r>
      <rPr>
        <sz val="11"/>
        <color theme="1"/>
        <rFont val="Tw Cen MT"/>
        <family val="2"/>
      </rPr>
      <t xml:space="preserve">, and hence an idea of the proportion of syllabus completed. </t>
    </r>
  </si>
  <si>
    <r>
      <t>The Most important part of your preparation. You</t>
    </r>
    <r>
      <rPr>
        <b/>
        <sz val="11"/>
        <color theme="1"/>
        <rFont val="Tw Cen MT"/>
        <family val="2"/>
      </rPr>
      <t xml:space="preserve"> must 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</si>
  <si>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r>
      <t>This is</t>
    </r>
    <r>
      <rPr>
        <b/>
        <sz val="11"/>
        <color theme="1"/>
        <rFont val="Tw Cen MT"/>
        <family val="2"/>
      </rPr>
      <t xml:space="preserve"> advisable to be done along with revision</t>
    </r>
    <r>
      <rPr>
        <sz val="11"/>
        <color theme="1"/>
        <rFont val="Tw Cen MT"/>
        <family val="2"/>
      </rPr>
      <t>. You build online reading speed as well. The level of Questions is very good. You may skip this and do only the practice book instead if you are falling short of time to do both.</t>
    </r>
  </si>
  <si>
    <t>Syllabus</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</si>
  <si>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t>
    </r>
  </si>
  <si>
    <r>
      <t>It just gives an indication of whether the chapter is lengthy on a scale of '1' to '5', '</t>
    </r>
    <r>
      <rPr>
        <b/>
        <sz val="11"/>
        <color theme="1"/>
        <rFont val="Tw Cen MT"/>
        <family val="2"/>
      </rPr>
      <t>3' being an average chapter length.</t>
    </r>
  </si>
  <si>
    <t>Notes to Yourself</t>
  </si>
  <si>
    <t>Average</t>
  </si>
  <si>
    <t>On a scale of 1(None) to 5(completely) have highlighted if the reading has a lot of numerical, formulas, ratios, calculations, etc. This is just to give you an idea to have the right expectations before you begin the chapter.</t>
  </si>
  <si>
    <t>Lengthy</t>
  </si>
  <si>
    <t>Numerical or Not</t>
  </si>
  <si>
    <t>Diff. Level</t>
  </si>
  <si>
    <t>Imp. Level</t>
  </si>
  <si>
    <t>Reqd. Prac.</t>
  </si>
  <si>
    <t>Cum. (%)</t>
  </si>
  <si>
    <t>Prac. Book</t>
  </si>
  <si>
    <t>Inst. Online Portal</t>
  </si>
  <si>
    <t>Inst. EOC Ques.</t>
  </si>
  <si>
    <t>Schweser Prac. Bk 1</t>
  </si>
  <si>
    <t>Schweser Prac. Bk 2</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</si>
  <si>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</si>
  <si>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</si>
  <si>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</si>
  <si>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</si>
  <si>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New</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</si>
  <si>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</si>
  <si>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</si>
  <si>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</si>
  <si>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</si>
  <si>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</si>
  <si>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</si>
  <si>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</si>
  <si>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</si>
  <si>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</si>
  <si>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</si>
  <si>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</si>
  <si>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</si>
  <si>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</si>
  <si>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</si>
  <si>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</si>
  <si>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</si>
  <si>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</si>
  <si>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</si>
  <si>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</si>
  <si>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</si>
  <si>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</si>
  <si>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</si>
  <si>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</si>
  <si>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</si>
  <si>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</si>
  <si>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</si>
  <si>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</si>
  <si>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</si>
  <si>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</si>
  <si>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</si>
  <si>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</si>
  <si>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</si>
  <si>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</si>
  <si>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</si>
  <si>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</si>
  <si>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</si>
  <si>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</si>
  <si>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</si>
  <si>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</si>
  <si>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</si>
  <si>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</si>
  <si>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</si>
  <si>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</si>
  <si>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</si>
  <si>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</si>
  <si>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</si>
  <si>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Details on 'what' and 'how much' to practice has been provided in details already. This is just to give an indication on a chapter-wise basis, with respect to the required practice, given how much the student is prone to error, or if there are a lot of confusing or difficult questions being tested from that chapter.
</t>
    </r>
    <r>
      <rPr>
        <b/>
        <sz val="11"/>
        <color theme="1"/>
        <rFont val="Tw Cen MT"/>
        <family val="2"/>
      </rPr>
      <t>1</t>
    </r>
    <r>
      <rPr>
        <sz val="11"/>
        <color theme="1"/>
        <rFont val="Tw Cen MT"/>
        <family val="2"/>
      </rPr>
      <t xml:space="preserve"> - Only If you have a shortage of time, you may skip the practice altogether, else do the </t>
    </r>
    <r>
      <rPr>
        <b/>
        <sz val="11"/>
        <color theme="1"/>
        <rFont val="Tw Cen MT"/>
        <family val="2"/>
      </rPr>
      <t>Institute Material EOC</t>
    </r>
    <r>
      <rPr>
        <sz val="11"/>
        <color theme="1"/>
        <rFont val="Tw Cen MT"/>
        <family val="2"/>
      </rPr>
      <t xml:space="preserve"> at least.
</t>
    </r>
    <r>
      <rPr>
        <b/>
        <sz val="11"/>
        <color theme="1"/>
        <rFont val="Tw Cen MT"/>
        <family val="2"/>
      </rPr>
      <t>2</t>
    </r>
    <r>
      <rPr>
        <sz val="11"/>
        <color theme="1"/>
        <rFont val="Tw Cen MT"/>
        <family val="2"/>
      </rPr>
      <t xml:space="preserve"> - If you are short of time, do the Institute Material EOC &amp; </t>
    </r>
    <r>
      <rPr>
        <b/>
        <sz val="11"/>
        <color theme="1"/>
        <rFont val="Tw Cen MT"/>
        <family val="2"/>
      </rPr>
      <t>Schweser EOC</t>
    </r>
    <r>
      <rPr>
        <sz val="11"/>
        <color theme="1"/>
        <rFont val="Tw Cen MT"/>
        <family val="2"/>
      </rPr>
      <t xml:space="preserve">.
</t>
    </r>
    <r>
      <rPr>
        <b/>
        <sz val="11"/>
        <color theme="1"/>
        <rFont val="Tw Cen MT"/>
        <family val="2"/>
      </rPr>
      <t>3</t>
    </r>
    <r>
      <rPr>
        <sz val="11"/>
        <color theme="1"/>
        <rFont val="Tw Cen MT"/>
        <family val="2"/>
      </rPr>
      <t xml:space="preserve"> - Do the Institute Material EOC, &amp; Schweser EOC, </t>
    </r>
    <r>
      <rPr>
        <b/>
        <sz val="11"/>
        <color theme="1"/>
        <rFont val="Tw Cen MT"/>
        <family val="2"/>
      </rPr>
      <t>Class Test Book</t>
    </r>
    <r>
      <rPr>
        <sz val="11"/>
        <color theme="1"/>
        <rFont val="Tw Cen MT"/>
        <family val="2"/>
      </rPr>
      <t xml:space="preserve">(Subject wise).
</t>
    </r>
    <r>
      <rPr>
        <b/>
        <sz val="11"/>
        <color theme="1"/>
        <rFont val="Tw Cen MT"/>
        <family val="2"/>
      </rPr>
      <t>4</t>
    </r>
    <r>
      <rPr>
        <sz val="11"/>
        <color theme="1"/>
        <rFont val="Tw Cen MT"/>
        <family val="2"/>
      </rPr>
      <t xml:space="preserve"> - Do the Institute Material EOC and Schweser EOC, Class Test Book(Subject wise), </t>
    </r>
    <r>
      <rPr>
        <b/>
        <sz val="11"/>
        <color theme="1"/>
        <rFont val="Tw Cen MT"/>
        <family val="2"/>
      </rPr>
      <t>Institute Portal online practice</t>
    </r>
    <r>
      <rPr>
        <sz val="11"/>
        <color theme="1"/>
        <rFont val="Tw Cen MT"/>
        <family val="2"/>
      </rPr>
      <t xml:space="preserve">.
</t>
    </r>
    <r>
      <rPr>
        <b/>
        <sz val="11"/>
        <color theme="1"/>
        <rFont val="Tw Cen MT"/>
        <family val="2"/>
      </rPr>
      <t>5</t>
    </r>
    <r>
      <rPr>
        <sz val="11"/>
        <color theme="1"/>
        <rFont val="Tw Cen MT"/>
        <family val="2"/>
      </rPr>
      <t xml:space="preserve">. Make sure you complete the Institute Material EOC and Schweser EOC, Class Test Book(Subject wise), Institute Portal online practice, and also the </t>
    </r>
    <r>
      <rPr>
        <b/>
        <sz val="11"/>
        <color theme="1"/>
        <rFont val="Tw Cen MT"/>
        <family val="2"/>
      </rPr>
      <t>Practice Book</t>
    </r>
    <r>
      <rPr>
        <sz val="11"/>
        <color theme="1"/>
        <rFont val="Tw Cen MT"/>
        <family val="2"/>
      </rPr>
      <t xml:space="preserve"> during Revision. Schweser Practice Papers (2 Mock books with 6 mock papers) is optional. Better to focus on Institute practice resources.</t>
    </r>
  </si>
  <si>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</si>
  <si>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</si>
  <si>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</si>
  <si>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</si>
  <si>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</si>
  <si>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</si>
  <si>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</si>
  <si>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t>
  </si>
  <si>
    <t>The schedule is automatically updated with every passing day, telling you what you need to complete in the current week and the following weeks until your revision day starts based on you study hours.</t>
  </si>
  <si>
    <t>Your Name</t>
  </si>
  <si>
    <t>CFA L-2</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</si>
  <si>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For some subjects that are your pain points, you may practice these. The standard of questions is better than they were in L1, but not as good as institute resources. Do time yourself and keep checking how much time are you taking per item set and if there is improvement over time. Time management is important in L-2</t>
  </si>
  <si>
    <t>After every subject has been completed, make sure to complete solving the questions here. It serves as a quick revision of the entire subject and improves retention. Advisable to time yourself for these and make a note of time taken and assess your time management. Time management is not as easy as it was in L-1, and is important for item sets.</t>
  </si>
  <si>
    <t>Introduction to Commodities and Commodity Derivatives</t>
  </si>
  <si>
    <t>Real Estate Investments</t>
  </si>
  <si>
    <t>Pricing and Valuation of Forward Commitments</t>
  </si>
  <si>
    <t>Valuation of Contingent Claims</t>
  </si>
  <si>
    <t>Multinational Operations</t>
  </si>
  <si>
    <t>Analysis of Financial Institutions</t>
  </si>
  <si>
    <t>Intercorporate Investments</t>
  </si>
  <si>
    <t>Evaluating Quality of Financial Reports</t>
  </si>
  <si>
    <t>Integration of Financial Statement Analysis Techniques</t>
  </si>
  <si>
    <t>Discounted Dividend Valuation</t>
  </si>
  <si>
    <t>Free Cash Flow Valuation</t>
  </si>
  <si>
    <t>Residual Income Valuation</t>
  </si>
  <si>
    <t>Private Company Valuation</t>
  </si>
  <si>
    <t>Financial Statement Modeling</t>
  </si>
  <si>
    <t>Multiple Regression</t>
  </si>
  <si>
    <t>Time-Series Analysis</t>
  </si>
  <si>
    <t>Machine Learning</t>
  </si>
  <si>
    <t>Big Data Projects</t>
  </si>
  <si>
    <t>Economic Growth</t>
  </si>
  <si>
    <t>Economics of Regulation</t>
  </si>
  <si>
    <t>The Term Structure and Interest Rate Dynamics</t>
  </si>
  <si>
    <t>The Arbitrage-Free Valuation Framework</t>
  </si>
  <si>
    <t>Valuation and Analysis of Bonds with Embedded Options</t>
  </si>
  <si>
    <t>Credit Analysis Models</t>
  </si>
  <si>
    <t>Credit Default Swaps</t>
  </si>
  <si>
    <t>Economics and Investment Markets</t>
  </si>
  <si>
    <t>Using Multifactor Models</t>
  </si>
  <si>
    <t>Analysis of Active Portfolio Management</t>
  </si>
  <si>
    <t>Measuring and Managing Market Risk</t>
  </si>
  <si>
    <t>Analysis of Dividends and Share Repurchases</t>
  </si>
  <si>
    <t>Corporate Restructuring</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</si>
  <si>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</si>
  <si>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</si>
  <si>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r>
      <t xml:space="preserve">The </t>
    </r>
    <r>
      <rPr>
        <b/>
        <sz val="11"/>
        <color theme="1"/>
        <rFont val="Tw Cen MT"/>
        <family val="2"/>
      </rPr>
      <t>End of Chapter questions is the first priority</t>
    </r>
    <r>
      <rPr>
        <sz val="11"/>
        <color theme="1"/>
        <rFont val="Tw Cen MT"/>
        <family val="2"/>
      </rPr>
      <t xml:space="preserve"> for practice. Complete this immediately after completing the chapter. Do not delay the same. Please make sure to watch the ‘How to Study and Practice’ Lecture to know exactly how to go about practice. There could be some Non-MCQ questions also, still try solving them. If you want to do questions from Learning Ecosystem it is fine, but most the questions in LES will be from EOC only, so if you are stuck in any question in LES please refer the EOC questions or practice book for the solution.</t>
    </r>
  </si>
  <si>
    <t>Hedge Fund Strategies</t>
  </si>
  <si>
    <t>Environmental, Social, and Governance (ESG) Considerations in Investment Analysis</t>
  </si>
  <si>
    <t>Cost of Capital-Advanced Topics</t>
  </si>
  <si>
    <t>Currency Exchange Rates-Understanding Equilibrium Value</t>
  </si>
  <si>
    <t>Equity Valuation-Applications and Processes</t>
  </si>
  <si>
    <t>Market-Based Valuation-Price and Enterprise Value Multiples</t>
  </si>
  <si>
    <t>Application of the Code and Standards-Level II</t>
  </si>
  <si>
    <t>Employee Compensation-Post-Employment and Share-Based</t>
  </si>
  <si>
    <t>Exchange-Traded Funds-Mechanics and Applications</t>
  </si>
  <si>
    <t>Backtesting and Simulation</t>
  </si>
  <si>
    <t>same</t>
  </si>
  <si>
    <t>Code of Ethics and Standards of Professional Conduct
Guidance for Standards I–VII</t>
  </si>
  <si>
    <t>41
42</t>
  </si>
  <si>
    <t>Alt. Invest.</t>
  </si>
  <si>
    <t>No. of chapters</t>
  </si>
  <si>
    <t>FSA</t>
  </si>
  <si>
    <t>Corp Issuers</t>
  </si>
  <si>
    <t>Cum. Undone hrs</t>
  </si>
  <si>
    <t>Undone hrs</t>
  </si>
  <si>
    <t>Sum of No. of chapters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</si>
</sst>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7" x14ac:knownFonts="1">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5">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cellStyleXfs>
  <cellXfs count="317">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8" xfId="0" applyFont="1" applyFill="1" applyBorder="1" applyAlignment="1">
      <alignment vertical="center"/>
    </xf>
    <xf numFmtId="0" fontId="61" fillId="3" borderId="8"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3"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2"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3"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0" fontId="60" fillId="7" borderId="9" xfId="0" applyFont="1" applyFill="1" applyBorder="1" applyAlignment="1">
      <alignment horizontal="center" vertical="center" wrapText="1"/>
    </xf>
    <xf numFmtId="0" fontId="3" fillId="0" borderId="0" xfId="0" applyFont="1" applyAlignment="1">
      <alignment horizontal="center" vertical="center"/>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15" borderId="15" xfId="0" applyFont="1" applyFill="1" applyBorder="1" applyAlignment="1">
      <alignment horizontal="center" vertical="center" wrapText="1"/>
    </xf>
    <xf numFmtId="0" fontId="19" fillId="0" borderId="21" xfId="0" applyFont="1" applyBorder="1"/>
    <xf numFmtId="165" fontId="3" fillId="0" borderId="21" xfId="0" applyNumberFormat="1" applyFont="1" applyBorder="1" applyAlignment="1">
      <alignment horizontal="center" vertical="center" wrapText="1"/>
    </xf>
    <xf numFmtId="165" fontId="10" fillId="0" borderId="21" xfId="0" applyNumberFormat="1" applyFont="1" applyBorder="1" applyAlignment="1">
      <alignment horizontal="center" vertical="center" wrapText="1"/>
    </xf>
    <xf numFmtId="164" fontId="3" fillId="0" borderId="21" xfId="0" applyNumberFormat="1" applyFont="1" applyBorder="1" applyAlignment="1">
      <alignment horizontal="center"/>
    </xf>
    <xf numFmtId="173" fontId="3" fillId="0" borderId="21" xfId="0" applyNumberFormat="1" applyFont="1" applyBorder="1" applyAlignment="1">
      <alignment horizontal="center"/>
    </xf>
    <xf numFmtId="164" fontId="10" fillId="0" borderId="21" xfId="0" applyNumberFormat="1" applyFont="1" applyBorder="1" applyAlignment="1">
      <alignment horizontal="center"/>
    </xf>
    <xf numFmtId="0" fontId="18" fillId="12" borderId="21" xfId="0" applyFont="1" applyFill="1" applyBorder="1"/>
    <xf numFmtId="165" fontId="21" fillId="12" borderId="21" xfId="0" applyNumberFormat="1" applyFont="1" applyFill="1" applyBorder="1" applyAlignment="1">
      <alignment horizontal="center" vertical="center" wrapText="1"/>
    </xf>
    <xf numFmtId="164" fontId="18" fillId="12" borderId="21" xfId="0" applyNumberFormat="1" applyFont="1" applyFill="1" applyBorder="1" applyAlignment="1">
      <alignment horizontal="center"/>
    </xf>
    <xf numFmtId="173" fontId="18" fillId="12" borderId="21"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5" xfId="0" applyFont="1" applyFill="1" applyBorder="1"/>
    <xf numFmtId="0" fontId="63" fillId="22" borderId="40" xfId="0" applyFont="1" applyFill="1" applyBorder="1" applyAlignment="1">
      <alignment vertical="center"/>
    </xf>
    <xf numFmtId="14" fontId="62" fillId="3" borderId="40"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0"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1" xfId="0" quotePrefix="1" applyFont="1" applyFill="1" applyBorder="1"/>
    <xf numFmtId="0" fontId="3" fillId="16" borderId="29" xfId="0" applyFont="1" applyFill="1" applyBorder="1"/>
    <xf numFmtId="0" fontId="53" fillId="23" borderId="30"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0" xfId="0" applyFont="1" applyFill="1" applyBorder="1" applyAlignment="1">
      <alignment horizontal="center" vertical="center" wrapText="1"/>
    </xf>
    <xf numFmtId="0" fontId="68" fillId="16" borderId="29"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8" xfId="0" applyNumberFormat="1" applyFont="1" applyBorder="1" applyAlignment="1">
      <alignment horizontal="center"/>
    </xf>
    <xf numFmtId="172" fontId="3" fillId="16" borderId="0" xfId="0" applyNumberFormat="1" applyFont="1" applyFill="1"/>
    <xf numFmtId="172" fontId="3" fillId="0" borderId="37" xfId="0" applyNumberFormat="1" applyFont="1" applyBorder="1" applyAlignment="1">
      <alignment horizontal="center"/>
    </xf>
    <xf numFmtId="172" fontId="3" fillId="16" borderId="0" xfId="0" applyNumberFormat="1" applyFont="1" applyFill="1" applyAlignment="1">
      <alignment wrapText="1"/>
    </xf>
    <xf numFmtId="165" fontId="3" fillId="0" borderId="37" xfId="0" applyNumberFormat="1" applyFont="1" applyBorder="1" applyAlignment="1">
      <alignment horizontal="center"/>
    </xf>
    <xf numFmtId="172" fontId="3" fillId="16" borderId="17"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8" xfId="0" applyNumberFormat="1" applyFont="1" applyBorder="1" applyAlignment="1">
      <alignment horizontal="center"/>
    </xf>
    <xf numFmtId="172" fontId="3" fillId="0" borderId="38" xfId="0" applyNumberFormat="1" applyFont="1" applyBorder="1" applyAlignment="1">
      <alignment horizontal="center" vertical="top" wrapText="1"/>
    </xf>
    <xf numFmtId="172" fontId="3" fillId="0" borderId="17" xfId="0" applyNumberFormat="1" applyFont="1" applyBorder="1" applyAlignment="1">
      <alignment horizontal="center" vertical="top" wrapText="1"/>
    </xf>
    <xf numFmtId="165" fontId="3" fillId="0" borderId="16" xfId="0" applyNumberFormat="1" applyFont="1" applyBorder="1" applyAlignment="1">
      <alignment horizontal="center" vertical="top" wrapText="1"/>
    </xf>
    <xf numFmtId="172" fontId="3" fillId="16" borderId="18" xfId="0" applyNumberFormat="1" applyFont="1" applyFill="1" applyBorder="1"/>
    <xf numFmtId="172" fontId="53" fillId="16" borderId="17" xfId="0" applyNumberFormat="1" applyFont="1" applyFill="1" applyBorder="1"/>
    <xf numFmtId="172" fontId="52" fillId="16" borderId="0" xfId="0" applyNumberFormat="1" applyFont="1" applyFill="1" applyAlignment="1">
      <alignment horizontal="center" vertical="center" wrapText="1"/>
    </xf>
    <xf numFmtId="0" fontId="3" fillId="16" borderId="41" xfId="0" applyFont="1" applyFill="1" applyBorder="1"/>
    <xf numFmtId="0" fontId="54" fillId="16" borderId="17" xfId="0" quotePrefix="1" applyFont="1" applyFill="1" applyBorder="1" applyAlignment="1">
      <alignment horizontal="left" indent="1"/>
    </xf>
    <xf numFmtId="172" fontId="3" fillId="0" borderId="16" xfId="0" applyNumberFormat="1" applyFont="1" applyBorder="1" applyAlignment="1">
      <alignment horizontal="center" vertical="center"/>
    </xf>
    <xf numFmtId="172" fontId="3" fillId="16" borderId="42" xfId="0" applyNumberFormat="1" applyFont="1" applyFill="1" applyBorder="1" applyAlignment="1">
      <alignment horizontal="center" vertical="center"/>
    </xf>
    <xf numFmtId="165" fontId="3" fillId="0" borderId="17" xfId="0" applyNumberFormat="1" applyFont="1" applyBorder="1" applyAlignment="1">
      <alignment horizontal="center" vertical="center"/>
    </xf>
    <xf numFmtId="172" fontId="54" fillId="16" borderId="17"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3" fillId="4" borderId="3" xfId="0" applyFont="1" applyFill="1" applyBorder="1" applyAlignment="1">
      <alignment vertical="center" wrapText="1"/>
    </xf>
    <xf numFmtId="0" fontId="3" fillId="24" borderId="8" xfId="0" applyFont="1" applyFill="1" applyBorder="1" applyAlignment="1">
      <alignment horizontal="left" vertical="center" wrapText="1" indent="1"/>
    </xf>
    <xf numFmtId="0" fontId="3" fillId="24" borderId="11" xfId="0" applyFont="1" applyFill="1" applyBorder="1" applyAlignment="1">
      <alignment horizontal="left" vertical="center" wrapText="1" indent="1"/>
    </xf>
    <xf numFmtId="0" fontId="3" fillId="24" borderId="0" xfId="0" applyFont="1" applyFill="1" applyAlignment="1">
      <alignment horizontal="left" vertical="center" wrapText="1" indent="1"/>
    </xf>
    <xf numFmtId="0" fontId="3" fillId="24" borderId="14" xfId="0" applyFont="1" applyFill="1" applyBorder="1" applyAlignment="1">
      <alignment horizontal="left" vertical="center" wrapText="1" indent="1"/>
    </xf>
    <xf numFmtId="0" fontId="3" fillId="24" borderId="8" xfId="0" applyFont="1" applyFill="1" applyBorder="1" applyAlignment="1">
      <alignment horizontal="left" vertical="center" wrapText="1"/>
    </xf>
    <xf numFmtId="0" fontId="3" fillId="24" borderId="11" xfId="0" applyFont="1" applyFill="1" applyBorder="1" applyAlignment="1">
      <alignment horizontal="left" vertical="center" wrapText="1"/>
    </xf>
    <xf numFmtId="0" fontId="6" fillId="21" borderId="0" xfId="0" applyFont="1" applyFill="1" applyAlignment="1">
      <alignment horizontal="center" vertical="center"/>
    </xf>
    <xf numFmtId="0" fontId="73" fillId="21" borderId="0" xfId="0" applyFont="1" applyFill="1" applyAlignment="1">
      <alignment horizontal="left" vertical="center"/>
    </xf>
    <xf numFmtId="0" fontId="73" fillId="21" borderId="0" xfId="0" applyFont="1" applyFill="1" applyAlignment="1">
      <alignment horizontal="center" vertical="center"/>
    </xf>
    <xf numFmtId="0" fontId="76" fillId="16" borderId="8" xfId="0" applyFont="1" applyFill="1" applyBorder="1" applyAlignment="1">
      <alignment horizontal="center" vertical="center"/>
    </xf>
    <xf numFmtId="0" fontId="60" fillId="7" borderId="9" xfId="0" applyFont="1" applyFill="1" applyBorder="1" applyAlignment="1">
      <alignment horizontal="center" vertical="center" wrapText="1"/>
    </xf>
    <xf numFmtId="0" fontId="57" fillId="16" borderId="0" xfId="4" applyFont="1" applyFill="1" applyAlignment="1" applyProtection="1">
      <alignment horizontal="center" vertical="center"/>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0" xfId="0" applyFont="1" applyFill="1" applyBorder="1" applyAlignment="1">
      <alignment horizontal="center" vertical="center" wrapText="1"/>
    </xf>
    <xf numFmtId="0" fontId="64" fillId="21" borderId="20" xfId="0" applyFont="1" applyFill="1" applyBorder="1" applyAlignment="1">
      <alignment horizontal="center" vertical="center" wrapText="1"/>
    </xf>
    <xf numFmtId="0" fontId="64" fillId="21" borderId="15" xfId="0" applyFont="1" applyFill="1" applyBorder="1" applyAlignment="1">
      <alignment horizontal="center" vertical="center" wrapText="1"/>
    </xf>
    <xf numFmtId="0" fontId="23" fillId="21" borderId="20" xfId="0" applyFont="1" applyFill="1" applyBorder="1" applyAlignment="1">
      <alignment horizontal="center" vertical="center" wrapText="1"/>
    </xf>
    <xf numFmtId="0" fontId="23" fillId="21" borderId="15"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74" fillId="16" borderId="0" xfId="0" applyFont="1" applyFill="1" applyAlignment="1">
      <alignment horizontal="left" vertical="center" wrapText="1" indent="2"/>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9"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67" fillId="16" borderId="0" xfId="0" applyFont="1" applyFill="1" applyAlignment="1">
      <alignment horizontal="center" wrapText="1"/>
    </xf>
    <xf numFmtId="9" fontId="3" fillId="0" borderId="43" xfId="0" applyNumberFormat="1" applyFont="1" applyBorder="1" applyAlignment="1">
      <alignment horizontal="center" vertical="center" wrapText="1"/>
    </xf>
    <xf numFmtId="9" fontId="3" fillId="0" borderId="39" xfId="0" applyNumberFormat="1" applyFont="1" applyBorder="1" applyAlignment="1">
      <alignment horizontal="center" vertical="center" wrapText="1"/>
    </xf>
    <xf numFmtId="9" fontId="3" fillId="0" borderId="44"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2" xfId="0" applyNumberFormat="1" applyFont="1" applyBorder="1" applyAlignment="1">
      <alignment horizontal="center"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19"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19"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5">
    <cellStyle name="20% - Accent1" xfId="1" builtinId="30"/>
    <cellStyle name="Hyperlink" xfId="4" builtinId="8"/>
    <cellStyle name="Normal" xfId="0" builtinId="0"/>
    <cellStyle name="Normal 2" xfId="2" xr:uid="{00000000-0005-0000-0000-000002000000}"/>
    <cellStyle name="Percent" xfId="3" builtinId="5"/>
  </cellStyles>
  <dxfs count="152">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Tw Cen MT"/>
        <family val="2"/>
        <scheme val="none"/>
      </font>
      <numFmt numFmtId="169" formatCode="[hh]:mm"/>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auto="1"/>
        <name val="Tw Cen MT"/>
        <family val="2"/>
        <scheme val="none"/>
      </font>
      <numFmt numFmtId="169"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51"/>
    </tableStyle>
    <tableStyle name="Slicer Style 1" pivot="0" table="0" count="1" xr9:uid="{F57D6513-AC47-4077-9F8D-C40FD9A6BFDA}">
      <tableStyleElement type="wholeTable" dxfId="150"/>
    </tableStyle>
    <tableStyle name="Slicer Style 2" pivot="0" table="0" count="1" xr9:uid="{01BD0BB3-5670-42DB-97C2-63B1C6D3857D}">
      <tableStyleElement type="wholeTable" dxfId="149"/>
    </tableStyle>
    <tableStyle name="Slicer Style 3" pivot="0" table="0" count="1" xr9:uid="{93557E10-2300-44AC-8EEB-27707F876CC7}">
      <tableStyleElement type="headerRow" dxfId="148"/>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Progress'!$Z$32</c:f>
              <c:strCache>
                <c:ptCount val="1"/>
                <c:pt idx="0">
                  <c:v>Syllubus(T)</c:v>
                </c:pt>
              </c:strCache>
            </c:strRef>
          </c:tx>
          <c:spPr>
            <a:solidFill>
              <a:schemeClr val="bg2">
                <a:lumMod val="90000"/>
              </a:schemeClr>
            </a:solidFill>
            <a:ln>
              <a:noFill/>
            </a:ln>
            <a:effectLst/>
          </c:spPr>
          <c:invertIfNegative val="0"/>
          <c:dLbls>
            <c:dLbl>
              <c:idx val="0"/>
              <c:tx>
                <c:rich>
                  <a:bodyPr/>
                  <a:lstStyle/>
                  <a:p>
                    <a:fld id="{445B4270-7722-483D-B62C-23C90CC661CD}"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C51BAA2E-DC8E-46D4-AF73-BCEEE695327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D841C8CB-47BC-4517-8749-833EA217C9A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990B580C-E8E6-4523-BF8F-91BBF01A138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A55B5563-6D14-4876-89EB-31AAB0ABF9E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F5578F82-D6E1-4F2F-9B71-7C35CE7B132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dLbl>
              <c:idx val="6"/>
              <c:tx>
                <c:rich>
                  <a:bodyPr/>
                  <a:lstStyle/>
                  <a:p>
                    <a:fld id="{3633D1B0-4395-4722-87EF-2F3B79FB715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4EE-422A-8173-85E89CCAC774}"/>
                </c:ext>
              </c:extLst>
            </c:dLbl>
            <c:dLbl>
              <c:idx val="7"/>
              <c:tx>
                <c:rich>
                  <a:bodyPr/>
                  <a:lstStyle/>
                  <a:p>
                    <a:fld id="{B04B1E7B-D4AA-4F37-BFF7-99EF9665464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4EE-422A-8173-85E89CCAC774}"/>
                </c:ext>
              </c:extLst>
            </c:dLbl>
            <c:dLbl>
              <c:idx val="8"/>
              <c:tx>
                <c:rich>
                  <a:bodyPr/>
                  <a:lstStyle/>
                  <a:p>
                    <a:fld id="{8F706CF3-FBB6-41AE-83D2-C801D0632D2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4EE-422A-8173-85E89CCAC774}"/>
                </c:ext>
              </c:extLst>
            </c:dLbl>
            <c:dLbl>
              <c:idx val="9"/>
              <c:tx>
                <c:rich>
                  <a:bodyPr/>
                  <a:lstStyle/>
                  <a:p>
                    <a:fld id="{19D60463-40E0-4E90-A738-3FEF0CBC991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Progress'!$Z$33:$Z$42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Progress'!$R$33:$R$42</c15:f>
                <c15:dlblRangeCache>
                  <c:ptCount val="10"/>
                  <c:pt idx="0">
                    <c:v>4</c:v>
                  </c:pt>
                  <c:pt idx="1">
                    <c:v>3</c:v>
                  </c:pt>
                  <c:pt idx="2">
                    <c:v>7</c:v>
                  </c:pt>
                  <c:pt idx="3">
                    <c:v>4</c:v>
                  </c:pt>
                  <c:pt idx="4">
                    <c:v>6</c:v>
                  </c:pt>
                  <c:pt idx="5">
                    <c:v>5</c:v>
                  </c:pt>
                  <c:pt idx="6">
                    <c:v>2</c:v>
                  </c:pt>
                  <c:pt idx="7">
                    <c:v>3</c:v>
                  </c:pt>
                  <c:pt idx="8">
                    <c:v>6</c:v>
                  </c:pt>
                  <c:pt idx="9">
                    <c:v>3</c:v>
                  </c:pt>
                </c15:dlblRangeCache>
              </c15:datalabelsRange>
            </c:ext>
            <c:ext xmlns:c16="http://schemas.microsoft.com/office/drawing/2014/chart" uri="{C3380CC4-5D6E-409C-BE32-E72D297353CC}">
              <c16:uniqueId val="{0000000A-54EE-422A-8173-85E89CCAC774}"/>
            </c:ext>
          </c:extLst>
        </c:ser>
        <c:ser>
          <c:idx val="3"/>
          <c:order val="3"/>
          <c:tx>
            <c:strRef>
              <c:f>'📊 Progress'!$AB$32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D6194A4F-659A-4D75-948D-A18F2B5AF66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378E96BB-E02D-414D-B088-F1F8D425B36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9A61BF31-7885-4D0C-8D9C-DD180E79DD0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0C5179AE-0C14-4E8C-B826-9719275268D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D2E49A7F-C1B4-442C-9C89-6E488888C38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3C20A4D8-0FA9-4CB9-9D91-F2B7612AFAF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dLbl>
              <c:idx val="6"/>
              <c:tx>
                <c:rich>
                  <a:bodyPr/>
                  <a:lstStyle/>
                  <a:p>
                    <a:fld id="{F1E5DBC5-6AD5-49E8-A1B2-9F9CE7A6967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EE-422A-8173-85E89CCAC774}"/>
                </c:ext>
              </c:extLst>
            </c:dLbl>
            <c:dLbl>
              <c:idx val="7"/>
              <c:tx>
                <c:rich>
                  <a:bodyPr/>
                  <a:lstStyle/>
                  <a:p>
                    <a:fld id="{4B0B4D84-99E5-40DB-9DD8-F8DD249D1BB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4EE-422A-8173-85E89CCAC774}"/>
                </c:ext>
              </c:extLst>
            </c:dLbl>
            <c:dLbl>
              <c:idx val="8"/>
              <c:tx>
                <c:rich>
                  <a:bodyPr/>
                  <a:lstStyle/>
                  <a:p>
                    <a:fld id="{4E3F5EAB-FAB6-4436-A9B0-D536AA85B72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4EE-422A-8173-85E89CCAC774}"/>
                </c:ext>
              </c:extLst>
            </c:dLbl>
            <c:dLbl>
              <c:idx val="9"/>
              <c:tx>
                <c:rich>
                  <a:bodyPr/>
                  <a:lstStyle/>
                  <a:p>
                    <a:fld id="{B305ABBA-E4CA-44F0-90ED-91C44468E51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Progress'!$AB$33:$AB$42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Progress'!$P$33:$P$42</c15:f>
                <c15:dlblRangeCache>
                  <c:ptCount val="10"/>
                  <c:pt idx="0">
                    <c:v>4</c:v>
                  </c:pt>
                  <c:pt idx="1">
                    <c:v>3</c:v>
                  </c:pt>
                  <c:pt idx="2">
                    <c:v>7</c:v>
                  </c:pt>
                  <c:pt idx="3">
                    <c:v>4</c:v>
                  </c:pt>
                  <c:pt idx="4">
                    <c:v>6</c:v>
                  </c:pt>
                  <c:pt idx="5">
                    <c:v>5</c:v>
                  </c:pt>
                  <c:pt idx="6">
                    <c:v>2</c:v>
                  </c:pt>
                  <c:pt idx="7">
                    <c:v>3</c:v>
                  </c:pt>
                  <c:pt idx="8">
                    <c:v>6</c:v>
                  </c:pt>
                  <c:pt idx="9">
                    <c:v>3</c:v>
                  </c:pt>
                </c15:dlblRangeCache>
              </c15:datalabelsRange>
            </c:ext>
            <c:ext xmlns:c16="http://schemas.microsoft.com/office/drawing/2014/chart" uri="{C3380CC4-5D6E-409C-BE32-E72D297353CC}">
              <c16:uniqueId val="{00000015-54EE-422A-8173-85E89CCAC774}"/>
            </c:ext>
          </c:extLst>
        </c:ser>
        <c:ser>
          <c:idx val="5"/>
          <c:order val="5"/>
          <c:tx>
            <c:strRef>
              <c:f>'📊 Progress'!$AD$32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4F8391E8-B95F-4B72-9555-AC9A5E3CCD0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3D287636-FDEA-4EC1-B7E7-F4B257AA4C4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6FC131C3-1AAA-439D-A35F-5ADBE200280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9A38366C-40DA-4DBD-8E79-0B477750CBB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38023526-1F1F-4836-BB31-C6E02B01EA9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0DDCA05A-831C-4DC8-A2BE-13C64A9ADC4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dLbl>
              <c:idx val="6"/>
              <c:tx>
                <c:rich>
                  <a:bodyPr/>
                  <a:lstStyle/>
                  <a:p>
                    <a:fld id="{064D744A-C503-4110-9361-BC37FCA7B9C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4EE-422A-8173-85E89CCAC774}"/>
                </c:ext>
              </c:extLst>
            </c:dLbl>
            <c:dLbl>
              <c:idx val="7"/>
              <c:tx>
                <c:rich>
                  <a:bodyPr/>
                  <a:lstStyle/>
                  <a:p>
                    <a:fld id="{50AF3900-AA83-40A7-B779-F63E9CE122E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4EE-422A-8173-85E89CCAC774}"/>
                </c:ext>
              </c:extLst>
            </c:dLbl>
            <c:dLbl>
              <c:idx val="8"/>
              <c:tx>
                <c:rich>
                  <a:bodyPr/>
                  <a:lstStyle/>
                  <a:p>
                    <a:fld id="{B7605638-09D5-4514-AE49-C1D413A2246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4EE-422A-8173-85E89CCAC774}"/>
                </c:ext>
              </c:extLst>
            </c:dLbl>
            <c:dLbl>
              <c:idx val="9"/>
              <c:tx>
                <c:rich>
                  <a:bodyPr/>
                  <a:lstStyle/>
                  <a:p>
                    <a:fld id="{84CB159B-11C9-4FDD-9844-7E6952E0801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Progress'!$AD$33:$AD$42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Progress'!$N$33:$N$42</c15:f>
                <c15:dlblRangeCache>
                  <c:ptCount val="10"/>
                  <c:pt idx="0">
                    <c:v>4</c:v>
                  </c:pt>
                  <c:pt idx="1">
                    <c:v>3</c:v>
                  </c:pt>
                  <c:pt idx="2">
                    <c:v>7</c:v>
                  </c:pt>
                  <c:pt idx="3">
                    <c:v>4</c:v>
                  </c:pt>
                  <c:pt idx="4">
                    <c:v>6</c:v>
                  </c:pt>
                  <c:pt idx="5">
                    <c:v>5</c:v>
                  </c:pt>
                  <c:pt idx="6">
                    <c:v>2</c:v>
                  </c:pt>
                  <c:pt idx="7">
                    <c:v>3</c:v>
                  </c:pt>
                  <c:pt idx="8">
                    <c:v>6</c:v>
                  </c:pt>
                  <c:pt idx="9">
                    <c:v>3</c:v>
                  </c:pt>
                </c15:dlblRangeCache>
              </c15:datalabelsRange>
            </c:ext>
            <c:ext xmlns:c16="http://schemas.microsoft.com/office/drawing/2014/chart" uri="{C3380CC4-5D6E-409C-BE32-E72D297353CC}">
              <c16:uniqueId val="{00000020-54EE-422A-8173-85E89CCAC774}"/>
            </c:ext>
          </c:extLst>
        </c:ser>
        <c:ser>
          <c:idx val="7"/>
          <c:order val="7"/>
          <c:tx>
            <c:strRef>
              <c:f>'📊 Progress'!$AF$32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2A7CF947-34B3-4DE6-8512-C7BDA70FE3EC}"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E1560F3B-5C5F-415E-8910-EFE5663E061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318AF89D-3D57-4165-9825-3F5B4E6D4D6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E78620F4-6D9C-48CC-AD84-CFFCAC0FEAD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6FEB8630-85B0-4A5E-B999-6957C17EFC0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F07D7584-7B1B-4C16-8ACC-A7583448BE5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dLbl>
              <c:idx val="6"/>
              <c:tx>
                <c:rich>
                  <a:bodyPr/>
                  <a:lstStyle/>
                  <a:p>
                    <a:fld id="{04F098F7-1C75-4FDC-8472-F9D26AEFF5C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4EE-422A-8173-85E89CCAC774}"/>
                </c:ext>
              </c:extLst>
            </c:dLbl>
            <c:dLbl>
              <c:idx val="7"/>
              <c:tx>
                <c:rich>
                  <a:bodyPr/>
                  <a:lstStyle/>
                  <a:p>
                    <a:fld id="{9B9EDAB5-02A1-4971-B445-12A4F1D0EA0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54EE-422A-8173-85E89CCAC774}"/>
                </c:ext>
              </c:extLst>
            </c:dLbl>
            <c:dLbl>
              <c:idx val="8"/>
              <c:tx>
                <c:rich>
                  <a:bodyPr/>
                  <a:lstStyle/>
                  <a:p>
                    <a:fld id="{F7A09C4B-16A1-4D0C-9D61-7025BB597C0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4EE-422A-8173-85E89CCAC774}"/>
                </c:ext>
              </c:extLst>
            </c:dLbl>
            <c:dLbl>
              <c:idx val="9"/>
              <c:tx>
                <c:rich>
                  <a:bodyPr/>
                  <a:lstStyle/>
                  <a:p>
                    <a:fld id="{B5BC70BB-E236-43D4-87C7-8CA2165836A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Progress'!$AF$33:$AF$42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Progress'!$U$33:$U$42</c15:f>
                <c15:dlblRangeCache>
                  <c:ptCount val="10"/>
                  <c:pt idx="0">
                    <c:v>4</c:v>
                  </c:pt>
                  <c:pt idx="1">
                    <c:v>3</c:v>
                  </c:pt>
                  <c:pt idx="2">
                    <c:v>7</c:v>
                  </c:pt>
                  <c:pt idx="3">
                    <c:v>4</c:v>
                  </c:pt>
                  <c:pt idx="4">
                    <c:v>6</c:v>
                  </c:pt>
                  <c:pt idx="5">
                    <c:v>5</c:v>
                  </c:pt>
                  <c:pt idx="6">
                    <c:v>2</c:v>
                  </c:pt>
                  <c:pt idx="7">
                    <c:v>3</c:v>
                  </c:pt>
                  <c:pt idx="8">
                    <c:v>6</c:v>
                  </c:pt>
                  <c:pt idx="9">
                    <c:v>3</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Progress'!$Y$32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F79DCDCD-5C17-41EF-B35F-F6B77CA6892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F35917AB-623B-44A8-A1D1-4F8CE7BE7E3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C514A758-3A84-4095-8C95-3BA4C60471A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FD34F206-1EA6-4768-9209-5F5713D6C78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F24728EB-4406-4872-8331-2360A2CBA883}"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9022DD2D-5F9A-46DD-9478-2448BB65993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1-54EE-422A-8173-85E89CCAC774}"/>
                </c:ext>
              </c:extLst>
            </c:dLbl>
            <c:dLbl>
              <c:idx val="6"/>
              <c:tx>
                <c:rich>
                  <a:bodyPr/>
                  <a:lstStyle/>
                  <a:p>
                    <a:fld id="{B8B08D65-2A33-4884-8187-1F267228F46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54EE-422A-8173-85E89CCAC774}"/>
                </c:ext>
              </c:extLst>
            </c:dLbl>
            <c:dLbl>
              <c:idx val="7"/>
              <c:tx>
                <c:rich>
                  <a:bodyPr/>
                  <a:lstStyle/>
                  <a:p>
                    <a:fld id="{8AC0D01D-6DD3-4BEC-A0BD-C5430A5E11D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54EE-422A-8173-85E89CCAC774}"/>
                </c:ext>
              </c:extLst>
            </c:dLbl>
            <c:dLbl>
              <c:idx val="8"/>
              <c:tx>
                <c:rich>
                  <a:bodyPr/>
                  <a:lstStyle/>
                  <a:p>
                    <a:fld id="{E7307F2C-7285-452B-BAEB-480A27E86B6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54EE-422A-8173-85E89CCAC774}"/>
                </c:ext>
              </c:extLst>
            </c:dLbl>
            <c:dLbl>
              <c:idx val="9"/>
              <c:tx>
                <c:rich>
                  <a:bodyPr/>
                  <a:lstStyle/>
                  <a:p>
                    <a:fld id="{B2467799-442D-4449-B4A0-E0A1D6B1155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Progress'!$Y$33:$Y$42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Progress'!$Q$33:$Q$42</c15:f>
                <c15:dlblRangeCache>
                  <c:ptCount val="10"/>
                </c15:dlblRangeCache>
              </c15:datalabelsRange>
            </c:ext>
            <c:ext xmlns:c16="http://schemas.microsoft.com/office/drawing/2014/chart" uri="{C3380CC4-5D6E-409C-BE32-E72D297353CC}">
              <c16:uniqueId val="{00000036-54EE-422A-8173-85E89CCAC774}"/>
            </c:ext>
          </c:extLst>
        </c:ser>
        <c:ser>
          <c:idx val="2"/>
          <c:order val="2"/>
          <c:tx>
            <c:strRef>
              <c:f>'📊 Progress'!$AA$32</c:f>
              <c:strCache>
                <c:ptCount val="1"/>
                <c:pt idx="0">
                  <c:v>Practice(D)</c:v>
                </c:pt>
              </c:strCache>
            </c:strRef>
          </c:tx>
          <c:spPr>
            <a:solidFill>
              <a:srgbClr val="EC7524"/>
            </a:solidFill>
            <a:ln>
              <a:noFill/>
            </a:ln>
            <a:effectLst/>
          </c:spPr>
          <c:invertIfNegative val="0"/>
          <c:dLbls>
            <c:dLbl>
              <c:idx val="0"/>
              <c:tx>
                <c:rich>
                  <a:bodyPr/>
                  <a:lstStyle/>
                  <a:p>
                    <a:fld id="{C8F99743-CD20-456A-BE14-81934DB18FB3}"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981C8645-6E14-41F1-8E25-9686F4078D1C}"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82A4C2ED-417A-46CF-9FBD-9B696C66FF3C}"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111A923E-BAAF-4DEE-B3C6-968DBF1CFB9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ADA0127C-AB96-437A-8A9D-D73C8B71958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4822522E-7456-4723-B51E-3DB2493FE14D}"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dLbl>
              <c:idx val="6"/>
              <c:tx>
                <c:rich>
                  <a:bodyPr/>
                  <a:lstStyle/>
                  <a:p>
                    <a:fld id="{EB779995-2D41-4411-BC05-5778B15B86D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54EE-422A-8173-85E89CCAC774}"/>
                </c:ext>
              </c:extLst>
            </c:dLbl>
            <c:dLbl>
              <c:idx val="7"/>
              <c:tx>
                <c:rich>
                  <a:bodyPr/>
                  <a:lstStyle/>
                  <a:p>
                    <a:fld id="{904AA89D-1233-4E36-B05B-9F413764F4F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54EE-422A-8173-85E89CCAC774}"/>
                </c:ext>
              </c:extLst>
            </c:dLbl>
            <c:dLbl>
              <c:idx val="8"/>
              <c:tx>
                <c:rich>
                  <a:bodyPr/>
                  <a:lstStyle/>
                  <a:p>
                    <a:fld id="{647EBA74-E064-4A45-83B8-4E91751EA89E}"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54EE-422A-8173-85E89CCAC774}"/>
                </c:ext>
              </c:extLst>
            </c:dLbl>
            <c:dLbl>
              <c:idx val="9"/>
              <c:tx>
                <c:rich>
                  <a:bodyPr/>
                  <a:lstStyle/>
                  <a:p>
                    <a:fld id="{6F55F228-E270-458E-ABB6-548A5D5ECB3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Progress'!$AA$33:$AA$42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Progress'!$O$33:$O$42</c15:f>
                <c15:dlblRangeCache>
                  <c:ptCount val="10"/>
                </c15:dlblRangeCache>
              </c15:datalabelsRange>
            </c:ext>
            <c:ext xmlns:c16="http://schemas.microsoft.com/office/drawing/2014/chart" uri="{C3380CC4-5D6E-409C-BE32-E72D297353CC}">
              <c16:uniqueId val="{00000041-54EE-422A-8173-85E89CCAC774}"/>
            </c:ext>
          </c:extLst>
        </c:ser>
        <c:ser>
          <c:idx val="4"/>
          <c:order val="4"/>
          <c:tx>
            <c:strRef>
              <c:f>'📊 Progress'!$AC$32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1A2D5984-6ADF-478B-9ED7-B58EFD16CF7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BE0BB8A4-BAD7-4BB2-BE27-A3EF2E6D1FA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AD6A4901-99D8-465C-949D-A1F47B503CAE}"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14C84758-C52F-48F6-9624-9EC0B4DB46E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0FB7AAAA-5AF5-48D2-95E6-63F1B75A954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096A86E7-5C84-41E4-9CF3-20FFEBA3C1D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dLbl>
              <c:idx val="6"/>
              <c:tx>
                <c:rich>
                  <a:bodyPr/>
                  <a:lstStyle/>
                  <a:p>
                    <a:fld id="{11849076-C3C9-4229-9A8D-8472ABF64C1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54EE-422A-8173-85E89CCAC774}"/>
                </c:ext>
              </c:extLst>
            </c:dLbl>
            <c:dLbl>
              <c:idx val="7"/>
              <c:tx>
                <c:rich>
                  <a:bodyPr/>
                  <a:lstStyle/>
                  <a:p>
                    <a:fld id="{E657821A-C867-4E43-BCB4-34B0BA777D9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54EE-422A-8173-85E89CCAC774}"/>
                </c:ext>
              </c:extLst>
            </c:dLbl>
            <c:dLbl>
              <c:idx val="8"/>
              <c:tx>
                <c:rich>
                  <a:bodyPr/>
                  <a:lstStyle/>
                  <a:p>
                    <a:fld id="{2B77F7AE-0096-47E4-9286-9C53375CC4B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54EE-422A-8173-85E89CCAC774}"/>
                </c:ext>
              </c:extLst>
            </c:dLbl>
            <c:dLbl>
              <c:idx val="9"/>
              <c:tx>
                <c:rich>
                  <a:bodyPr/>
                  <a:lstStyle/>
                  <a:p>
                    <a:fld id="{D73B4129-019E-4281-AE05-DFC6FF7F03C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Progress'!$AC$33:$AC$42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Progress'!$I$33:$I$42</c15:f>
                <c15:dlblRangeCache>
                  <c:ptCount val="10"/>
                </c15:dlblRangeCache>
              </c15:datalabelsRange>
            </c:ext>
            <c:ext xmlns:c16="http://schemas.microsoft.com/office/drawing/2014/chart" uri="{C3380CC4-5D6E-409C-BE32-E72D297353CC}">
              <c16:uniqueId val="{0000004C-54EE-422A-8173-85E89CCAC774}"/>
            </c:ext>
          </c:extLst>
        </c:ser>
        <c:ser>
          <c:idx val="6"/>
          <c:order val="6"/>
          <c:tx>
            <c:strRef>
              <c:f>'📊 Progress'!$AE$32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2BDBD4FD-3B55-450E-BD8F-9520DE5D2DD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01F016CB-E302-428A-8D5F-AE500413748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9EF62BF3-ABE8-4A89-96DF-977EDD324D6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7D0B495E-635C-4E83-A84F-1CC6C3B686E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56FD59E7-0841-4FA0-848B-23E56CF1B53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F8B52297-A01D-4D69-8125-185CA65C8C5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dLbl>
              <c:idx val="6"/>
              <c:tx>
                <c:rich>
                  <a:bodyPr/>
                  <a:lstStyle/>
                  <a:p>
                    <a:fld id="{3558B742-A560-4D10-9AE0-EB57CCF252D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54EE-422A-8173-85E89CCAC774}"/>
                </c:ext>
              </c:extLst>
            </c:dLbl>
            <c:dLbl>
              <c:idx val="7"/>
              <c:tx>
                <c:rich>
                  <a:bodyPr/>
                  <a:lstStyle/>
                  <a:p>
                    <a:fld id="{B8A2BA1D-43A2-41A0-AE01-E793BE38E28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54EE-422A-8173-85E89CCAC774}"/>
                </c:ext>
              </c:extLst>
            </c:dLbl>
            <c:dLbl>
              <c:idx val="8"/>
              <c:tx>
                <c:rich>
                  <a:bodyPr/>
                  <a:lstStyle/>
                  <a:p>
                    <a:fld id="{92CC886E-6695-43DA-AD05-BC4AEAD9C10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54EE-422A-8173-85E89CCAC774}"/>
                </c:ext>
              </c:extLst>
            </c:dLbl>
            <c:dLbl>
              <c:idx val="9"/>
              <c:tx>
                <c:rich>
                  <a:bodyPr/>
                  <a:lstStyle/>
                  <a:p>
                    <a:fld id="{8D052958-45F3-4E88-B503-D3726D782DD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Progress'!$AE$33:$AE$42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Progress'!$T$33:$T$42</c15:f>
                <c15:dlblRangeCache>
                  <c:ptCount val="10"/>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Progress'!$AG$32</c:f>
              <c:strCache>
                <c:ptCount val="1"/>
                <c:pt idx="0">
                  <c:v>Confidence</c:v>
                </c:pt>
              </c:strCache>
            </c:strRef>
          </c:tx>
          <c:spPr>
            <a:ln w="57150" cap="rnd">
              <a:solidFill>
                <a:schemeClr val="bg1"/>
              </a:solidFill>
              <a:round/>
            </a:ln>
            <a:effectLst/>
          </c:spPr>
          <c:marker>
            <c:symbol val="none"/>
          </c:marker>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Progress'!$AG$33:$AG$42</c:f>
              <c:numCache>
                <c:formatCode>0%</c:formatCode>
                <c:ptCount val="10"/>
                <c:pt idx="0">
                  <c:v>0.43076923076923085</c:v>
                </c:pt>
                <c:pt idx="1">
                  <c:v>0.49090909090909091</c:v>
                </c:pt>
                <c:pt idx="2">
                  <c:v>0.5083333333333333</c:v>
                </c:pt>
                <c:pt idx="3">
                  <c:v>0.46666666666666667</c:v>
                </c:pt>
                <c:pt idx="4">
                  <c:v>0.49090909090909085</c:v>
                </c:pt>
                <c:pt idx="5">
                  <c:v>0.47272727272727266</c:v>
                </c:pt>
                <c:pt idx="6">
                  <c:v>0.5</c:v>
                </c:pt>
                <c:pt idx="7">
                  <c:v>0.4</c:v>
                </c:pt>
                <c:pt idx="8">
                  <c:v>0.42727272727272725</c:v>
                </c:pt>
                <c:pt idx="9">
                  <c:v>0.4</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[CFA Level 2 Performance Tracker '24.xlsx]Working!PivotTable4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solidFill>
              <a:schemeClr val="accent1">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5">
              <a:lumMod val="60000"/>
              <a:lumOff val="40000"/>
            </a:schemeClr>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20000"/>
              <a:lumOff val="8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solidFill>
              <a:schemeClr val="accent5">
                <a:lumMod val="60000"/>
                <a:lumOff val="40000"/>
              </a:schemeClr>
            </a:solidFill>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1-3B40-49BF-9EBB-49F235D1B0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43</c:v>
                </c:pt>
              </c:numCache>
            </c:numRef>
          </c:val>
          <c:extLst>
            <c:ext xmlns:c16="http://schemas.microsoft.com/office/drawing/2014/chart" uri="{C3380CC4-5D6E-409C-BE32-E72D297353CC}">
              <c16:uniqueId val="{00000004-844F-4712-A4C6-10E56878E8F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[CFA Level 2 Performance Tracker '24.xlsx]Working!PivotTable5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4">
              <a:lumMod val="60000"/>
              <a:lumOff val="40000"/>
            </a:schemeClr>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solidFill>
              <a:schemeClr val="accent4">
                <a:lumMod val="60000"/>
                <a:lumOff val="40000"/>
              </a:schemeClr>
            </a:solidFill>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1-A4E2-45ED-B909-1C5A37BFDE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43</c:v>
                </c:pt>
              </c:numCache>
            </c:numRef>
          </c:val>
          <c:extLst>
            <c:ext xmlns:c16="http://schemas.microsoft.com/office/drawing/2014/chart" uri="{C3380CC4-5D6E-409C-BE32-E72D297353CC}">
              <c16:uniqueId val="{00000004-8B14-4C34-A3EA-96838D0F7F3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3BB21E73-C747-46CF-8FE2-C67807CC741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1F7CFC8A-D7C8-47BD-AC0B-93A192D49AB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E37183DF-7C02-463E-8135-4AD655DBC77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29469D76-3A32-4946-AEAE-ED858679FBB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Working!$E$54:$E$57</c15:f>
                <c15:dlblRangeCache>
                  <c:ptCount val="4"/>
                  <c:pt idx="2">
                    <c:v>Extra Undone, 42</c:v>
                  </c:pt>
                  <c:pt idx="3">
                    <c:v>Undone, 150</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C40B2C91-F69C-41C6-B6C2-EB5E7286F8E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805273F3-8AA9-4FAD-AF57-BF6BA181CF0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2BABCF67-2803-4989-8BD5-DC8F6E78487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40A2E82B-B2C4-40D8-8394-8CA3E94762C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Working!$E$61:$E$64</c15:f>
                <c15:dlblRangeCache>
                  <c:ptCount val="4"/>
                  <c:pt idx="2">
                    <c:v>Extra Undone, 47</c:v>
                  </c:pt>
                  <c:pt idx="3">
                    <c:v>Undone, 167</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928379A1-821F-4F68-A45E-767EC2DD148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63F1003B-CF00-42C2-B690-33C7B798BAB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0.16532958730521619"/>
                  <c:y val="0.11606769749408002"/>
                </c:manualLayout>
              </c:layout>
              <c:tx>
                <c:rich>
                  <a:bodyPr/>
                  <a:lstStyle/>
                  <a:p>
                    <a:fld id="{D9D77CC8-F3F8-41EC-B471-5177F53F91E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CE476780-1D1A-45F0-9212-8018C0710EF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0.21875000000000003</c:v>
                </c:pt>
                <c:pt idx="3">
                  <c:v>0.78124999999999989</c:v>
                </c:pt>
              </c:numCache>
            </c:numRef>
          </c:val>
          <c:extLst>
            <c:ext xmlns:c15="http://schemas.microsoft.com/office/drawing/2012/chart" uri="{02D57815-91ED-43cb-92C2-25804820EDAC}">
              <c15:datalabelsRange>
                <c15:f>Working!$E$68:$E$71</c15:f>
                <c15:dlblRangeCache>
                  <c:ptCount val="4"/>
                  <c:pt idx="2">
                    <c:v>Extra Undone, 89</c:v>
                  </c:pt>
                  <c:pt idx="3">
                    <c:v>Undone, 318</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9EB9A7A-1FD7-435B-9717-867FC3627654}"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B936559-D424-4B27-9432-52EC16B2440A}"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9DCEC128-A8F6-428E-AF71-66EBA6B7186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4D133E6-81DF-4F86-9517-BC0077764D57}"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Working!$E$47:$E$50</c15:f>
                <c15:dlblRangeCache>
                  <c:ptCount val="4"/>
                  <c:pt idx="2">
                    <c:v>Extra Undone, 9</c:v>
                  </c:pt>
                  <c:pt idx="3">
                    <c:v>Undone, 34</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0A4E5B4B-498E-40BE-9EDB-D244AD497B0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8484E331-6F06-4800-B3A7-C9132066D20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C5FD909C-06C8-4D94-A469-06DF8151748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8DACFEEF-E561-4DE6-8C6A-E6A63E870A1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Working!$E$54:$E$57</c15:f>
                <c15:dlblRangeCache>
                  <c:ptCount val="4"/>
                  <c:pt idx="2">
                    <c:v>Extra Undone, 42</c:v>
                  </c:pt>
                  <c:pt idx="3">
                    <c:v>Undone, 150</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36AA2932-536D-4524-A003-550964677D3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F0BC999B-A256-42D1-B7AE-DF955E65979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4465113D-8DAB-42C2-A435-38852D4128C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6A322A1-E15A-4CA7-A933-547B4A60B07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Working!$E$61:$E$64</c15:f>
                <c15:dlblRangeCache>
                  <c:ptCount val="4"/>
                  <c:pt idx="2">
                    <c:v>Extra Undone, 47</c:v>
                  </c:pt>
                  <c:pt idx="3">
                    <c:v>Undone, 167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586369C-9C9D-4C39-A0A5-BAFC5902F66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F5FA777-241F-4944-859D-01D8D80CE73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7DCF5387-18D7-4DFE-8E41-F2C98D9B71B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CFBAAABC-9A79-45D5-A5DE-E593EBB12FB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0.21875000000000003</c:v>
                </c:pt>
                <c:pt idx="3">
                  <c:v>0.78124999999999989</c:v>
                </c:pt>
              </c:numCache>
            </c:numRef>
          </c:val>
          <c:extLst>
            <c:ext xmlns:c15="http://schemas.microsoft.com/office/drawing/2012/chart" uri="{02D57815-91ED-43cb-92C2-25804820EDAC}">
              <c15:datalabelsRange>
                <c15:f>Working!$E$68:$E$71</c15:f>
                <c15:dlblRangeCache>
                  <c:ptCount val="4"/>
                  <c:pt idx="2">
                    <c:v>Extra Undone, 89</c:v>
                  </c:pt>
                  <c:pt idx="3">
                    <c:v>Undone, 318</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Progress'!$B$33:$B$42</c:f>
              <c:numCache>
                <c:formatCode>0.0;\-0.0;;@</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5.909611162179125E-2"/>
                  <c:y val="-7.6683083074820774E-2"/>
                </c:manualLayout>
              </c:layout>
              <c:tx>
                <c:rich>
                  <a:bodyPr/>
                  <a:lstStyle/>
                  <a:p>
                    <a:fld id="{FBF5014E-F7BB-4AC2-B645-4A7409BDFD78}"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layout>
                <c:manualLayout>
                  <c:x val="-6.4837673304477511E-2"/>
                  <c:y val="8.0803807872997568E-2"/>
                </c:manualLayout>
              </c:layout>
              <c:tx>
                <c:rich>
                  <a:bodyPr/>
                  <a:lstStyle/>
                  <a:p>
                    <a:fld id="{2A27E783-2048-4BE5-B0D1-26DDC862697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77-4FB0-9F37-13FB91287652}"/>
                </c:ext>
              </c:extLst>
            </c:dLbl>
            <c:dLbl>
              <c:idx val="2"/>
              <c:layout>
                <c:manualLayout>
                  <c:x val="-7.5444208876202526E-2"/>
                  <c:y val="-8.5672556855570001E-2"/>
                </c:manualLayout>
              </c:layout>
              <c:tx>
                <c:rich>
                  <a:bodyPr/>
                  <a:lstStyle/>
                  <a:p>
                    <a:fld id="{F9E02BF4-5857-4DF2-9690-0195574FA6A0}"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6.4889293689035191E-2"/>
                  <c:y val="7.12791617711264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fld id="{E6FB1B29-7AB8-4497-A0C7-6ED8CDDDECF9}" type="CELLRANGE">
                      <a:rPr lang="en-US"/>
                      <a:pPr>
                        <a:defRPr>
                          <a:solidFill>
                            <a:schemeClr val="bg1">
                              <a:lumMod val="50000"/>
                            </a:schemeClr>
                          </a:solidFill>
                          <a:latin typeface="Tw Cen MT" panose="020B0602020104020603" pitchFamily="34" charset="0"/>
                        </a:defRPr>
                      </a:pPr>
                      <a:t>[CELLRANGE]</a:t>
                    </a:fld>
                    <a:endParaRPr lang="en-IN"/>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manualLayout>
                      <c:w val="0.15265366082970969"/>
                      <c:h val="0.11481056657653639"/>
                    </c:manualLayout>
                  </c15:layout>
                  <c15:dlblFieldTable/>
                  <c15:showDataLabelsRange val="1"/>
                </c:ext>
                <c:ext xmlns:c16="http://schemas.microsoft.com/office/drawing/2014/chart" uri="{C3380CC4-5D6E-409C-BE32-E72D297353CC}">
                  <c16:uniqueId val="{00000003-2077-4FB0-9F37-13FB91287652}"/>
                </c:ext>
              </c:extLst>
            </c:dLbl>
            <c:dLbl>
              <c:idx val="4"/>
              <c:layout>
                <c:manualLayout>
                  <c:x val="-7.264169054197564E-2"/>
                  <c:y val="-5.6002650470366781E-2"/>
                </c:manualLayout>
              </c:layout>
              <c:tx>
                <c:rich>
                  <a:bodyPr/>
                  <a:lstStyle/>
                  <a:p>
                    <a:fld id="{FDE0305F-E10E-4A0F-8A24-209B564A84E3}"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77-4FB0-9F37-13FB91287652}"/>
                </c:ext>
              </c:extLst>
            </c:dLbl>
            <c:dLbl>
              <c:idx val="5"/>
              <c:layout>
                <c:manualLayout>
                  <c:x val="-6.3659316628238635E-2"/>
                  <c:y val="8.0803807872997527E-2"/>
                </c:manualLayout>
              </c:layout>
              <c:tx>
                <c:rich>
                  <a:bodyPr/>
                  <a:lstStyle/>
                  <a:p>
                    <a:fld id="{2580DED1-7A90-440B-9297-2ED34E8B2DF7}"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77-4FB0-9F37-13FB91287652}"/>
                </c:ext>
              </c:extLst>
            </c:dLbl>
            <c:dLbl>
              <c:idx val="6"/>
              <c:layout>
                <c:manualLayout>
                  <c:x val="-4.50430926406169E-2"/>
                  <c:y val="7.4879800251748799E-2"/>
                </c:manualLayout>
              </c:layout>
              <c:tx>
                <c:rich>
                  <a:bodyPr/>
                  <a:lstStyle/>
                  <a:p>
                    <a:fld id="{9BA237CF-56EA-4E1D-B178-725EDD9CD214}"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077-4FB0-9F37-13FB91287652}"/>
                </c:ext>
              </c:extLst>
            </c:dLbl>
            <c:dLbl>
              <c:idx val="7"/>
              <c:layout>
                <c:manualLayout>
                  <c:x val="-5.0606597427718614E-2"/>
                  <c:y val="-0.12421557770394981"/>
                </c:manualLayout>
              </c:layout>
              <c:tx>
                <c:rich>
                  <a:bodyPr/>
                  <a:lstStyle/>
                  <a:p>
                    <a:fld id="{F5BEBAAE-56D4-4C57-9822-A0AB54EE6BF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7.9021694443321466E-2"/>
                  <c:y val="0.13954577449449607"/>
                </c:manualLayout>
              </c:layout>
              <c:tx>
                <c:rich>
                  <a:bodyPr/>
                  <a:lstStyle/>
                  <a:p>
                    <a:fld id="{3F888E2E-DA5B-4E9B-B2AB-B7258FBF871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dLbl>
              <c:idx val="9"/>
              <c:tx>
                <c:rich>
                  <a:bodyPr/>
                  <a:lstStyle/>
                  <a:p>
                    <a:fld id="{88BBE732-188A-4751-B250-A596A60272AE}"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Progress'!$M$33:$M$42</c:f>
              <c:numCache>
                <c:formatCode>0.0;\-0.0;;@</c:formatCode>
                <c:ptCount val="10"/>
                <c:pt idx="0">
                  <c:v>2.1538461538461542</c:v>
                </c:pt>
                <c:pt idx="1">
                  <c:v>2.4545454545454546</c:v>
                </c:pt>
                <c:pt idx="2">
                  <c:v>2.5416666666666665</c:v>
                </c:pt>
                <c:pt idx="3">
                  <c:v>2.3333333333333335</c:v>
                </c:pt>
                <c:pt idx="4">
                  <c:v>2.4545454545454541</c:v>
                </c:pt>
                <c:pt idx="5">
                  <c:v>2.3636363636363633</c:v>
                </c:pt>
                <c:pt idx="6">
                  <c:v>2.5</c:v>
                </c:pt>
                <c:pt idx="7">
                  <c:v>2</c:v>
                </c:pt>
                <c:pt idx="8">
                  <c:v>2.1363636363636362</c:v>
                </c:pt>
                <c:pt idx="9">
                  <c:v>2</c:v>
                </c:pt>
              </c:numCache>
            </c:numRef>
          </c:val>
          <c:smooth val="0"/>
          <c:extLst>
            <c:ext xmlns:c15="http://schemas.microsoft.com/office/drawing/2012/chart" uri="{02D57815-91ED-43cb-92C2-25804820EDAC}">
              <c15:datalabelsRange>
                <c15:f>'📊 Progress'!$C$33:$C$42</c15:f>
                <c15:dlblRange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210D9497-56B1-42B0-B6C0-C7B0FCD4AD57}"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0.19745222929936307</c:v>
                </c:pt>
              </c:numCache>
            </c:numRef>
          </c:val>
          <c:extLst>
            <c:ext xmlns:c15="http://schemas.microsoft.com/office/drawing/2012/chart" uri="{02D57815-91ED-43cb-92C2-25804820EDAC}">
              <c15:datalabelsRange>
                <c15:f>Working!$J$4</c15:f>
                <c15:dlblRangeCache>
                  <c:ptCount val="1"/>
                  <c:pt idx="0">
                    <c:v>63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DCE2312F-1C59-44C5-8BFF-44170299CD5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0.71656050955414008</c:v>
                </c:pt>
              </c:numCache>
            </c:numRef>
          </c:val>
          <c:extLst>
            <c:ext xmlns:c15="http://schemas.microsoft.com/office/drawing/2012/chart" uri="{02D57815-91ED-43cb-92C2-25804820EDAC}">
              <c15:datalabelsRange>
                <c15:f>Working!$J$5</c15:f>
                <c15:dlblRangeCache>
                  <c:ptCount val="1"/>
                  <c:pt idx="0">
                    <c:v>225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1.5923566878980888E-2</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18D9858B-95BA-490B-B2C1-7B2C7C85B3A8}"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6.687898089171973E-2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A18D8CED-FF33-476B-8ED5-5ADB4FC32FD3}"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3.1847133757961785E-3</c:v>
                </c:pt>
              </c:numCache>
            </c:numRef>
          </c:val>
          <c:extLst>
            <c:ext xmlns:c15="http://schemas.microsoft.com/office/drawing/2012/chart" uri="{02D57815-91ED-43cb-92C2-25804820EDAC}">
              <c15:datalabelsRange>
                <c15:f>Working!$K$3</c15:f>
                <c15:dlblRangeCache>
                  <c:ptCount val="1"/>
                  <c:pt idx="0">
                    <c:v>Start 
10-Jan-24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B88B3A62-9EFA-4A0E-A69D-5B185B7579A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0.20063694267515925</c:v>
                </c:pt>
              </c:numCache>
            </c:numRef>
          </c:val>
          <c:extLst>
            <c:ext xmlns:c15="http://schemas.microsoft.com/office/drawing/2012/chart" uri="{02D57815-91ED-43cb-92C2-25804820EDAC}">
              <c15:datalabelsRange>
                <c15:f>Working!$K$4</c15:f>
                <c15:dlblRangeCache>
                  <c:ptCount val="1"/>
                  <c:pt idx="0">
                    <c:v>Today 13-Mar-24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0.91719745222929938</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0.93312101910828027</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19-Nov-24</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8AF0D535-6750-42A9-9742-A8FC5B7FFFB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399532FF-8907-41CB-9230-43A44169261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C255175A-8EB6-4118-B580-7FFBA545033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A9E34D53-3815-4DFD-832B-522BDAF5052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0.21875</c:v>
                </c:pt>
                <c:pt idx="3">
                  <c:v>0.78125</c:v>
                </c:pt>
              </c:numCache>
            </c:numRef>
          </c:val>
          <c:extLst>
            <c:ext xmlns:c15="http://schemas.microsoft.com/office/drawing/2012/chart" uri="{02D57815-91ED-43cb-92C2-25804820EDAC}">
              <c15:datalabelsRange>
                <c15:f>Working!$E$47:$E$50</c15:f>
                <c15:dlblRangeCache>
                  <c:ptCount val="4"/>
                  <c:pt idx="2">
                    <c:v>Extra Undone, 9</c:v>
                  </c:pt>
                  <c:pt idx="3">
                    <c:v>Undone, 34</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[CFA Level 2 Performance Tracker '24.xlsx]Working!PivotTable1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bg1">
              <a:lumMod val="85000"/>
            </a:schemeClr>
          </a:solidFill>
          <a:ln w="19050">
            <a:solidFill>
              <a:schemeClr val="bg1">
                <a:lumMod val="5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solidFill>
              <a:schemeClr val="bg1">
                <a:lumMod val="85000"/>
              </a:schemeClr>
            </a:solidFill>
            <a:ln>
              <a:solidFill>
                <a:schemeClr val="bg1">
                  <a:lumMod val="50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6-1162-4FAE-A3FB-5A15077F11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43</c:v>
                </c:pt>
              </c:numCache>
            </c:numRef>
          </c:val>
          <c:extLst>
            <c:ext xmlns:c16="http://schemas.microsoft.com/office/drawing/2014/chart" uri="{C3380CC4-5D6E-409C-BE32-E72D297353CC}">
              <c16:uniqueId val="{00000004-1162-4FAE-A3FB-5A15077F116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[CFA Level 2 Performance Tracker '24.xlsx]Working!PivotTable2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6">
              <a:lumMod val="60000"/>
              <a:lumOff val="40000"/>
            </a:schemeClr>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20000"/>
              <a:lumOff val="8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solidFill>
              <a:schemeClr val="accent6">
                <a:lumMod val="60000"/>
                <a:lumOff val="40000"/>
              </a:schemeClr>
            </a:solidFill>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8D4D-4BDD-9BEB-988A9B858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43</c:v>
                </c:pt>
              </c:numCache>
            </c:numRef>
          </c:val>
          <c:extLst>
            <c:ext xmlns:c16="http://schemas.microsoft.com/office/drawing/2014/chart" uri="{C3380CC4-5D6E-409C-BE32-E72D297353CC}">
              <c16:uniqueId val="{00000004-3F45-4E48-853A-98C3A042E66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[CFA Level 2 Performance Tracker '24.xlsx]Working!PivotTable3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2">
              <a:lumMod val="75000"/>
            </a:schemeClr>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2">
              <a:lumMod val="40000"/>
              <a:lumOff val="60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solidFill>
              <a:schemeClr val="accent2">
                <a:lumMod val="75000"/>
              </a:schemeClr>
            </a:solidFill>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F667-4885-BD14-FE24C8D3512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43</c:v>
                </c:pt>
              </c:numCache>
            </c:numRef>
          </c:val>
          <c:extLst>
            <c:ext xmlns:c16="http://schemas.microsoft.com/office/drawing/2014/chart" uri="{C3380CC4-5D6E-409C-BE32-E72D297353CC}">
              <c16:uniqueId val="{00000004-57B1-484C-BD0A-99162C78AD7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3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+91 98317 79737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16</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4732</xdr:rowOff>
    </xdr:from>
    <xdr:to>
      <xdr:col>5</xdr:col>
      <xdr:colOff>19050</xdr:colOff>
      <xdr:row>47</xdr:row>
      <xdr:rowOff>57150</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iddhi Mukim" refreshedDate="45364.461978125" createdVersion="7" refreshedVersion="8" minRefreshableVersion="3" recordCount="42" xr:uid="{FC0E6DB8-2D29-449C-9177-1A77E9689797}">
  <cacheSource type="worksheet">
    <worksheetSource name="Master_Data"/>
  </cacheSource>
  <cacheFields count="37">
    <cacheField name="Order of Study" numFmtId="3">
      <sharedItems containsSemiMixedTypes="0" containsString="0" containsNumber="1" containsInteger="1" minValue="1" maxValue="42"/>
    </cacheField>
    <cacheField name="Schedule" numFmtId="3">
      <sharedItems/>
    </cacheField>
    <cacheField name="Column1" numFmtId="3">
      <sharedItems containsSemiMixedTypes="0" containsString="0" containsNumber="1" containsInteger="1" minValue="1" maxValue="33"/>
    </cacheField>
    <cacheField name="Column2" numFmtId="3">
      <sharedItems containsMixedTypes="1" containsNumber="1" containsInteger="1" minValue="2" maxValue="33"/>
    </cacheField>
    <cacheField name="Cum. Undone hrs" numFmtId="0">
      <sharedItems containsSemiMixedTypes="0" containsNonDate="0" containsDate="1" containsString="0" minDate="1899-12-30T04:19:00" maxDate="1900-01-07T21:38:00"/>
    </cacheField>
    <cacheField name="Undone hrs" numFmtId="0">
      <sharedItems containsSemiMixedTypes="0" containsDate="1" containsString="0" containsMixedTypes="1" minDate="1899-12-30T00:36:00" maxDate="1899-12-30T00:00:00"/>
    </cacheField>
    <cacheField name="Subject" numFmtId="0">
      <sharedItems count="14">
        <s v="Alt. Invest."/>
        <s v="Derivatives"/>
        <s v="FSA"/>
        <s v="Equity"/>
        <s v="Quants"/>
        <s v="Ethics"/>
        <s v="Economics"/>
        <s v="Fixed Income"/>
        <s v="Portfolio"/>
        <s v="Corp Issuers"/>
        <s v="Alt. Investments" u="1"/>
        <s v="FRA" u="1"/>
        <s v="Corp. Issuers" u="1"/>
        <s v="Corporate Issuers" u="1"/>
      </sharedItems>
    </cacheField>
    <cacheField name="Reading" numFmtId="0">
      <sharedItems containsMixedTypes="1" containsNumber="1" containsInteger="1" minValue="1" maxValue="43"/>
    </cacheField>
    <cacheField name="Changes" numFmtId="0">
      <sharedItems/>
    </cacheField>
    <cacheField name="Topic" numFmtId="0">
      <sharedItems/>
    </cacheField>
    <cacheField name="No. of chapters" numFmtId="0">
      <sharedItems containsSemiMixedTypes="0" containsString="0" containsNumber="1" containsInteger="1" minValue="1" maxValue="2"/>
    </cacheField>
    <cacheField name="No. of LOS" numFmtId="0">
      <sharedItems containsSemiMixedTypes="0" containsString="0" containsNumber="1" containsInteger="1" minValue="2" maxValue="18"/>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2" maxValue="5"/>
    </cacheField>
    <cacheField name="Imp. Level" numFmtId="0">
      <sharedItems containsSemiMixedTypes="0" containsString="0" containsNumber="1" containsInteger="1" minValue="2" maxValue="5"/>
    </cacheField>
    <cacheField name="Reqd. Prac." numFmtId="0">
      <sharedItems containsSemiMixedTypes="0" containsString="0" containsNumber="1" containsInteger="1" minValue="3" maxValue="5"/>
    </cacheField>
    <cacheField name="Duration (hh:mm)" numFmtId="20">
      <sharedItems containsSemiMixedTypes="0" containsNonDate="0" containsDate="1" containsString="0" minDate="1899-12-30T00:36:00" maxDate="1899-12-31T09:28:00" count="40">
        <d v="1899-12-30T04:19:00"/>
        <d v="1899-12-30T05:52:00"/>
        <d v="1899-12-30T06:33:00"/>
        <d v="1899-12-30T07:51:00"/>
        <d v="1899-12-31T09:28:00"/>
        <d v="1899-12-30T05:50:00"/>
        <d v="1899-12-30T05:48:00"/>
        <d v="1899-12-30T07:02:00"/>
        <d v="1899-12-30T05:08:00"/>
        <d v="1899-12-30T01:46:00"/>
        <d v="1899-12-30T00:47:00"/>
        <d v="1899-12-30T04:10:00"/>
        <d v="1899-12-30T03:51:00"/>
        <d v="1899-12-30T04:08:00"/>
        <d v="1899-12-30T03:53:00"/>
        <d v="1899-12-30T04:43:00"/>
        <d v="1899-12-30T01:43:00"/>
        <d v="1899-12-30T02:15:00"/>
        <d v="1899-12-30T08:51:00"/>
        <d v="1899-12-30T04:49:00"/>
        <d v="1899-12-30T04:17:00"/>
        <d v="1899-12-30T03:52:00"/>
        <d v="1899-12-30T05:05:00"/>
        <d v="1899-12-30T00:36:00"/>
        <d v="1899-12-30T07:27:00"/>
        <d v="1899-12-30T02:58:00"/>
        <d v="1899-12-30T01:48:00"/>
        <d v="1899-12-30T07:17:00"/>
        <d v="1899-12-30T02:52:00"/>
        <d v="1899-12-30T04:41:00"/>
        <d v="1899-12-30T04:23:00"/>
        <d v="1899-12-30T03:41:00"/>
        <d v="1899-12-30T03:03:00"/>
        <d v="1899-12-30T03:20:00"/>
        <d v="1899-12-30T03:25:00"/>
        <d v="1899-12-30T05:22:00"/>
        <d v="1899-12-30T05:28:00"/>
        <d v="1899-12-30T02:27:00"/>
        <d v="1899-12-30T07:03:00"/>
        <d v="1899-12-30T03:37:00"/>
      </sharedItems>
      <fieldGroup par="36" base="18">
        <rangePr groupBy="seconds" startDate="1899-12-30T00:36:00" endDate="1899-12-31T09:28: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1-01-1900"/>
        </groupItems>
      </fieldGroup>
    </cacheField>
    <cacheField name="Cum. (%)" numFmtId="3">
      <sharedItems containsSemiMixedTypes="0" containsString="0" containsNumber="1" minValue="2.0205960368232172" maxValue="100"/>
    </cacheField>
    <cacheField name="Lectures" numFmtId="17">
      <sharedItems count="2">
        <s v="U"/>
        <s v="D" u="1"/>
      </sharedItems>
    </cacheField>
    <cacheField name="Self Study" numFmtId="17">
      <sharedItems count="2">
        <s v="U"/>
        <s v="D" u="1"/>
      </sharedItems>
    </cacheField>
    <cacheField name="Inst. EOC Ques." numFmtId="17">
      <sharedItems/>
    </cacheField>
    <cacheField name="Prac. Book" numFmtId="17">
      <sharedItems/>
    </cacheField>
    <cacheField name="Revision" numFmtId="17">
      <sharedItems count="2">
        <s v="U"/>
        <s v="D" u="1"/>
      </sharedItems>
    </cacheField>
    <cacheField name="Inst. Online Portal" numFmtId="17">
      <sharedItems/>
    </cacheField>
    <cacheField name="Schweser Prac. Bk 1" numFmtId="17">
      <sharedItems/>
    </cacheField>
    <cacheField name="Schweser Prac. Bk 2" numFmtId="17">
      <sharedItems/>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1.2500000000000001E-2" maxValue="3.125E-2"/>
    </cacheField>
    <cacheField name="Subjectwise weights" numFmtId="9">
      <sharedItems containsSemiMixedTypes="0" containsString="0" containsNumber="1" minValue="8.3333333333333329E-2" maxValue="0.5"/>
    </cacheField>
    <cacheField name="Subjectwise weighted average" numFmtId="4">
      <sharedItems containsSemiMixedTypes="0" containsString="0" containsNumber="1" minValue="0.25" maxValue="1.5"/>
    </cacheField>
    <cacheField name="Practice" numFmtId="0">
      <sharedItems count="2">
        <s v="U"/>
        <s v="D" u="1"/>
      </sharedItems>
    </cacheField>
    <cacheField name="Extra Practice" numFmtId="0">
      <sharedItems count="2">
        <s v="U"/>
        <s v="D" u="1"/>
      </sharedItems>
    </cacheField>
    <cacheField name="Minutes" numFmtId="0" databaseField="0">
      <fieldGroup base="18">
        <rangePr groupBy="minutes" startDate="1899-12-30T00:36:00" endDate="1899-12-31T09:28: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1-01-1900"/>
        </groupItems>
      </fieldGroup>
    </cacheField>
    <cacheField name="Hours" numFmtId="0" databaseField="0">
      <fieldGroup base="18">
        <rangePr groupBy="hours" startDate="1899-12-30T00:36:00" endDate="1899-12-31T09:28:00"/>
        <groupItems count="26">
          <s v="&lt;00-01-1900"/>
          <s v="00"/>
          <s v="01"/>
          <s v="02"/>
          <s v="03"/>
          <s v="04"/>
          <s v="05"/>
          <s v="06"/>
          <s v="07"/>
          <s v="08"/>
          <s v="09"/>
          <s v="10"/>
          <s v="11"/>
          <s v="12"/>
          <s v="13"/>
          <s v="14"/>
          <s v="15"/>
          <s v="16"/>
          <s v="17"/>
          <s v="18"/>
          <s v="19"/>
          <s v="20"/>
          <s v="21"/>
          <s v="22"/>
          <s v="23"/>
          <s v="&gt;01-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1"/>
    <s v="Current Week"/>
    <n v="1"/>
    <e v="#VALUE!"/>
    <d v="1899-12-30T04:19:00"/>
    <d v="1899-12-30T04:19:00"/>
    <x v="0"/>
    <n v="32"/>
    <s v="Same"/>
    <s v="Introduction to Commodities and Commodity Derivatives"/>
    <n v="1"/>
    <n v="10"/>
    <n v="3"/>
    <n v="2"/>
    <n v="4"/>
    <n v="4"/>
    <n v="4"/>
    <n v="4"/>
    <x v="0"/>
    <n v="2.0205960368232172"/>
    <x v="0"/>
    <x v="0"/>
    <s v="U"/>
    <s v="U"/>
    <x v="0"/>
    <s v="U"/>
    <s v="U"/>
    <s v="U"/>
    <n v="2"/>
    <m/>
    <n v="2.5000000000000001E-2"/>
    <n v="0.36363636363636365"/>
    <n v="0.72727272727272729"/>
    <x v="0"/>
    <x v="0"/>
  </r>
  <r>
    <n v="2"/>
    <s v="Week 2"/>
    <n v="2"/>
    <n v="2"/>
    <d v="1899-12-30T10:11:00"/>
    <d v="1899-12-30T05:52:00"/>
    <x v="0"/>
    <n v="33"/>
    <s v="Changes"/>
    <s v="Real Estate Investments"/>
    <n v="1"/>
    <n v="10"/>
    <n v="3"/>
    <n v="2"/>
    <n v="2"/>
    <n v="3"/>
    <n v="3"/>
    <n v="3"/>
    <x v="1"/>
    <n v="4.7667342799188646"/>
    <x v="0"/>
    <x v="0"/>
    <s v="U"/>
    <s v="U"/>
    <x v="0"/>
    <s v="U"/>
    <s v="U"/>
    <s v="U"/>
    <n v="2"/>
    <m/>
    <n v="1.8749999999999999E-2"/>
    <n v="0.27272727272727271"/>
    <n v="0.54545454545454541"/>
    <x v="0"/>
    <x v="0"/>
  </r>
  <r>
    <n v="3"/>
    <s v="Week 3"/>
    <n v="3"/>
    <n v="3"/>
    <d v="1899-12-30T16:44:00"/>
    <d v="1899-12-30T06:33:00"/>
    <x v="0"/>
    <n v="34"/>
    <s v="New"/>
    <s v="Hedge Fund Strategies"/>
    <n v="1"/>
    <n v="9"/>
    <n v="4"/>
    <n v="1"/>
    <n v="3"/>
    <n v="4"/>
    <n v="4"/>
    <n v="5"/>
    <x v="2"/>
    <n v="7.832735216102356"/>
    <x v="0"/>
    <x v="0"/>
    <s v="U"/>
    <s v="U"/>
    <x v="0"/>
    <s v="U"/>
    <s v="U"/>
    <s v="U"/>
    <n v="2"/>
    <m/>
    <n v="2.5000000000000001E-2"/>
    <n v="0.36363636363636365"/>
    <n v="0.72727272727272729"/>
    <x v="0"/>
    <x v="0"/>
  </r>
  <r>
    <n v="4"/>
    <s v="Week 4"/>
    <n v="4"/>
    <n v="4"/>
    <d v="1899-12-31T00:35:00"/>
    <d v="1899-12-30T07:51:00"/>
    <x v="1"/>
    <n v="30"/>
    <s v="Same"/>
    <s v="Pricing and Valuation of Forward Commitments"/>
    <n v="1"/>
    <n v="7"/>
    <n v="5"/>
    <n v="5"/>
    <n v="4"/>
    <n v="4"/>
    <n v="5"/>
    <n v="4"/>
    <x v="3"/>
    <n v="11.507255422062725"/>
    <x v="0"/>
    <x v="0"/>
    <s v="U"/>
    <s v="U"/>
    <x v="0"/>
    <s v="U"/>
    <s v="U"/>
    <s v="U"/>
    <n v="2"/>
    <m/>
    <n v="3.125E-2"/>
    <n v="0.5"/>
    <n v="1"/>
    <x v="0"/>
    <x v="0"/>
  </r>
  <r>
    <n v="5"/>
    <s v="Week 9"/>
    <n v="9"/>
    <n v="8"/>
    <d v="1900-01-01T10:03:00"/>
    <d v="1899-12-31T09:28:00"/>
    <x v="1"/>
    <n v="31"/>
    <s v="Same"/>
    <s v="Valuation of Contingent Claims"/>
    <n v="1"/>
    <n v="14"/>
    <n v="5"/>
    <n v="5"/>
    <n v="5"/>
    <n v="5"/>
    <n v="5"/>
    <n v="5"/>
    <x v="4"/>
    <n v="27.172725854267437"/>
    <x v="0"/>
    <x v="0"/>
    <s v="U"/>
    <s v="U"/>
    <x v="0"/>
    <s v="U"/>
    <s v="U"/>
    <s v="U"/>
    <n v="3"/>
    <m/>
    <n v="3.125E-2"/>
    <n v="0.5"/>
    <n v="1.5"/>
    <x v="0"/>
    <x v="0"/>
  </r>
  <r>
    <n v="6"/>
    <s v="Week 10"/>
    <n v="10"/>
    <n v="10"/>
    <d v="1900-01-01T15:53:00"/>
    <d v="1899-12-30T05:50:00"/>
    <x v="2"/>
    <n v="10"/>
    <s v="Same"/>
    <s v="Multinational Operations"/>
    <n v="1"/>
    <n v="10"/>
    <n v="4"/>
    <n v="4"/>
    <n v="5"/>
    <n v="5"/>
    <n v="4"/>
    <n v="5"/>
    <x v="5"/>
    <n v="29.903261039163674"/>
    <x v="0"/>
    <x v="0"/>
    <s v="U"/>
    <s v="U"/>
    <x v="0"/>
    <s v="U"/>
    <s v="U"/>
    <s v="U"/>
    <n v="2"/>
    <m/>
    <n v="2.5000000000000001E-2"/>
    <n v="0.16666666666666666"/>
    <n v="0.33333333333333331"/>
    <x v="0"/>
    <x v="0"/>
  </r>
  <r>
    <n v="7"/>
    <s v="Week 11"/>
    <n v="11"/>
    <n v="11"/>
    <d v="1900-01-01T21:41:00"/>
    <d v="1899-12-30T05:48:00"/>
    <x v="2"/>
    <n v="11"/>
    <s v="Same"/>
    <s v="Analysis of Financial Institutions"/>
    <n v="1"/>
    <n v="6"/>
    <n v="4"/>
    <n v="3"/>
    <n v="3"/>
    <n v="3"/>
    <n v="4"/>
    <n v="4"/>
    <x v="6"/>
    <n v="32.618193165860511"/>
    <x v="0"/>
    <x v="0"/>
    <s v="U"/>
    <s v="U"/>
    <x v="0"/>
    <s v="U"/>
    <s v="U"/>
    <s v="U"/>
    <n v="3"/>
    <m/>
    <n v="2.5000000000000001E-2"/>
    <n v="0.16666666666666666"/>
    <n v="0.5"/>
    <x v="0"/>
    <x v="0"/>
  </r>
  <r>
    <n v="8"/>
    <s v="Week 12"/>
    <n v="12"/>
    <n v="12"/>
    <d v="1900-01-02T04:43:00"/>
    <d v="1899-12-30T07:02:00"/>
    <x v="2"/>
    <n v="8"/>
    <s v="Same"/>
    <s v="Intercorporate Investments"/>
    <n v="1"/>
    <n v="3"/>
    <n v="4"/>
    <n v="4"/>
    <n v="4"/>
    <n v="4"/>
    <n v="4"/>
    <n v="4"/>
    <x v="7"/>
    <n v="35.910438445935405"/>
    <x v="0"/>
    <x v="0"/>
    <s v="U"/>
    <s v="U"/>
    <x v="0"/>
    <s v="U"/>
    <s v="U"/>
    <s v="U"/>
    <n v="2"/>
    <m/>
    <n v="2.5000000000000001E-2"/>
    <n v="0.16666666666666666"/>
    <n v="0.33333333333333331"/>
    <x v="0"/>
    <x v="0"/>
  </r>
  <r>
    <n v="9"/>
    <s v="Week 13"/>
    <n v="13"/>
    <n v="13"/>
    <d v="1900-01-02T09:51:00"/>
    <d v="1899-12-30T05:08:00"/>
    <x v="2"/>
    <n v="9"/>
    <s v="Changes"/>
    <s v="Employee Compensation-Post-Employment and Share-Based"/>
    <n v="1"/>
    <n v="5"/>
    <n v="4"/>
    <n v="3"/>
    <n v="5"/>
    <n v="5"/>
    <n v="4"/>
    <n v="5"/>
    <x v="8"/>
    <n v="38.313309408644095"/>
    <x v="0"/>
    <x v="0"/>
    <s v="U"/>
    <s v="U"/>
    <x v="0"/>
    <s v="U"/>
    <s v="U"/>
    <s v="U"/>
    <n v="3"/>
    <m/>
    <n v="2.5000000000000001E-2"/>
    <n v="0.16666666666666666"/>
    <n v="0.5"/>
    <x v="0"/>
    <x v="0"/>
  </r>
  <r>
    <n v="10"/>
    <s v="Week 13"/>
    <n v="13"/>
    <n v="13"/>
    <d v="1900-01-02T11:37:00"/>
    <d v="1899-12-30T01:46:00"/>
    <x v="2"/>
    <n v="12"/>
    <s v="Same"/>
    <s v="Evaluating Quality of Financial Reports"/>
    <n v="1"/>
    <n v="13"/>
    <n v="2"/>
    <n v="2"/>
    <n v="2"/>
    <n v="3"/>
    <n v="3"/>
    <n v="4"/>
    <x v="9"/>
    <n v="39.140271493212673"/>
    <x v="0"/>
    <x v="0"/>
    <s v="U"/>
    <s v="U"/>
    <x v="0"/>
    <s v="U"/>
    <s v="U"/>
    <s v="U"/>
    <n v="2"/>
    <m/>
    <n v="1.8749999999999999E-2"/>
    <n v="0.125"/>
    <n v="0.25"/>
    <x v="0"/>
    <x v="0"/>
  </r>
  <r>
    <n v="11"/>
    <s v="Week 13"/>
    <n v="13"/>
    <n v="13"/>
    <d v="1900-01-02T12:24:00"/>
    <d v="1899-12-30T00:47:00"/>
    <x v="2"/>
    <n v="13"/>
    <s v="Same"/>
    <s v="Integration of Financial Statement Analysis Techniques"/>
    <n v="1"/>
    <n v="5"/>
    <n v="2"/>
    <n v="2"/>
    <n v="2"/>
    <n v="3"/>
    <n v="3"/>
    <n v="4"/>
    <x v="10"/>
    <n v="39.506943360898745"/>
    <x v="0"/>
    <x v="0"/>
    <s v="U"/>
    <s v="U"/>
    <x v="0"/>
    <s v="U"/>
    <s v="U"/>
    <s v="U"/>
    <n v="3"/>
    <m/>
    <n v="1.8749999999999999E-2"/>
    <n v="0.125"/>
    <n v="0.375"/>
    <x v="0"/>
    <x v="0"/>
  </r>
  <r>
    <n v="12"/>
    <s v="Week 14"/>
    <n v="14"/>
    <n v="14"/>
    <d v="1900-01-02T16:34:00"/>
    <d v="1899-12-30T04:10:00"/>
    <x v="3"/>
    <n v="20"/>
    <s v="Same"/>
    <s v="Discounted Dividend Valuation"/>
    <n v="1"/>
    <n v="16"/>
    <n v="4"/>
    <n v="5"/>
    <n v="3"/>
    <n v="3"/>
    <n v="4"/>
    <n v="3"/>
    <x v="11"/>
    <n v="41.457325635824624"/>
    <x v="0"/>
    <x v="0"/>
    <s v="U"/>
    <s v="U"/>
    <x v="0"/>
    <s v="U"/>
    <s v="U"/>
    <s v="U"/>
    <n v="3"/>
    <m/>
    <n v="2.5000000000000001E-2"/>
    <n v="0.18181818181818182"/>
    <n v="0.54545454545454541"/>
    <x v="0"/>
    <x v="0"/>
  </r>
  <r>
    <n v="13"/>
    <s v="Week 14"/>
    <n v="14"/>
    <n v="14"/>
    <d v="1900-01-02T20:25:00"/>
    <d v="1899-12-30T03:51:00"/>
    <x v="3"/>
    <n v="21"/>
    <s v="Same"/>
    <s v="Free Cash Flow Valuation"/>
    <n v="1"/>
    <n v="13"/>
    <n v="3"/>
    <n v="5"/>
    <n v="4"/>
    <n v="5"/>
    <n v="4"/>
    <n v="5"/>
    <x v="12"/>
    <n v="43.259478857856152"/>
    <x v="0"/>
    <x v="0"/>
    <s v="U"/>
    <s v="U"/>
    <x v="0"/>
    <s v="U"/>
    <s v="U"/>
    <s v="U"/>
    <n v="2"/>
    <m/>
    <n v="2.5000000000000001E-2"/>
    <n v="0.18181818181818182"/>
    <n v="0.36363636363636365"/>
    <x v="0"/>
    <x v="0"/>
  </r>
  <r>
    <n v="14"/>
    <s v="Week 15"/>
    <n v="15"/>
    <n v="15"/>
    <d v="1900-01-03T00:33:00"/>
    <d v="1899-12-30T04:08:00"/>
    <x v="3"/>
    <n v="22"/>
    <s v="Same"/>
    <s v="Market-Based Valuation-Price and Enterprise Value Multiples"/>
    <n v="1"/>
    <n v="18"/>
    <n v="3"/>
    <n v="5"/>
    <n v="3"/>
    <n v="3"/>
    <n v="3"/>
    <n v="3"/>
    <x v="13"/>
    <n v="45.194258074582628"/>
    <x v="0"/>
    <x v="0"/>
    <s v="U"/>
    <s v="U"/>
    <x v="0"/>
    <s v="U"/>
    <s v="U"/>
    <s v="U"/>
    <n v="2"/>
    <m/>
    <n v="1.8749999999999999E-2"/>
    <n v="0.13636363636363635"/>
    <n v="0.27272727272727271"/>
    <x v="0"/>
    <x v="0"/>
  </r>
  <r>
    <n v="15"/>
    <s v="Week 16"/>
    <n v="16"/>
    <n v="16"/>
    <d v="1900-01-03T04:26:00"/>
    <d v="1899-12-30T03:53:00"/>
    <x v="3"/>
    <n v="23"/>
    <s v="Same"/>
    <s v="Residual Income Valuation"/>
    <n v="1"/>
    <n v="11"/>
    <n v="3"/>
    <n v="4"/>
    <n v="5"/>
    <n v="5"/>
    <n v="5"/>
    <n v="5"/>
    <x v="14"/>
    <n v="47.012014354813552"/>
    <x v="0"/>
    <x v="0"/>
    <s v="U"/>
    <s v="U"/>
    <x v="0"/>
    <s v="U"/>
    <s v="U"/>
    <s v="U"/>
    <n v="2"/>
    <m/>
    <n v="3.125E-2"/>
    <n v="0.22727272727272727"/>
    <n v="0.45454545454545453"/>
    <x v="0"/>
    <x v="0"/>
  </r>
  <r>
    <n v="16"/>
    <s v="Week 16"/>
    <n v="16"/>
    <n v="16"/>
    <d v="1900-01-03T09:09:00"/>
    <d v="1899-12-30T04:43:00"/>
    <x v="3"/>
    <n v="24"/>
    <s v="Changes"/>
    <s v="Private Company Valuation"/>
    <n v="1"/>
    <n v="9"/>
    <n v="3"/>
    <n v="2"/>
    <n v="3"/>
    <n v="4"/>
    <n v="4"/>
    <n v="4"/>
    <x v="15"/>
    <n v="49.219847090029653"/>
    <x v="0"/>
    <x v="0"/>
    <s v="U"/>
    <s v="U"/>
    <x v="0"/>
    <s v="U"/>
    <s v="U"/>
    <s v="U"/>
    <n v="3"/>
    <m/>
    <n v="2.5000000000000001E-2"/>
    <n v="0.18181818181818182"/>
    <n v="0.54545454545454541"/>
    <x v="0"/>
    <x v="0"/>
  </r>
  <r>
    <n v="17"/>
    <s v="Week 17"/>
    <n v="17"/>
    <n v="17"/>
    <d v="1900-01-03T10:52:00"/>
    <d v="1899-12-30T01:43:00"/>
    <x v="3"/>
    <n v="19"/>
    <s v="Same"/>
    <s v="Equity Valuation-Applications and Processes"/>
    <n v="1"/>
    <n v="8"/>
    <n v="2"/>
    <n v="1"/>
    <n v="2"/>
    <n v="3"/>
    <n v="2"/>
    <n v="3"/>
    <x v="16"/>
    <n v="50.023404587299112"/>
    <x v="0"/>
    <x v="0"/>
    <s v="U"/>
    <s v="U"/>
    <x v="0"/>
    <s v="U"/>
    <s v="U"/>
    <s v="U"/>
    <n v="3"/>
    <m/>
    <n v="1.2500000000000001E-2"/>
    <n v="9.0909090909090912E-2"/>
    <n v="0.27272727272727271"/>
    <x v="0"/>
    <x v="0"/>
  </r>
  <r>
    <n v="18"/>
    <s v="Week 17"/>
    <n v="17"/>
    <n v="17"/>
    <d v="1900-01-03T13:07:00"/>
    <d v="1899-12-30T02:15:00"/>
    <x v="2"/>
    <n v="14"/>
    <s v="Same"/>
    <s v="Financial Statement Modeling"/>
    <n v="1"/>
    <n v="14"/>
    <n v="2"/>
    <n v="2"/>
    <n v="2"/>
    <n v="2"/>
    <n v="2"/>
    <n v="3"/>
    <x v="17"/>
    <n v="51.076611015759099"/>
    <x v="0"/>
    <x v="0"/>
    <s v="U"/>
    <s v="U"/>
    <x v="0"/>
    <s v="U"/>
    <s v="U"/>
    <s v="U"/>
    <n v="3"/>
    <m/>
    <n v="1.2500000000000001E-2"/>
    <n v="8.3333333333333329E-2"/>
    <n v="0.25"/>
    <x v="0"/>
    <x v="0"/>
  </r>
  <r>
    <n v="19"/>
    <s v="Week 18"/>
    <n v="18"/>
    <n v="18"/>
    <d v="1900-01-03T21:58:00"/>
    <d v="1899-12-30T08:51:00"/>
    <x v="4"/>
    <n v="1"/>
    <s v="Same"/>
    <s v="Multiple Regression"/>
    <n v="1"/>
    <n v="13"/>
    <n v="5"/>
    <n v="5"/>
    <n v="5"/>
    <n v="5"/>
    <n v="4"/>
    <n v="5"/>
    <x v="18"/>
    <n v="55.21922296770169"/>
    <x v="0"/>
    <x v="0"/>
    <s v="U"/>
    <s v="U"/>
    <x v="0"/>
    <s v="U"/>
    <s v="U"/>
    <s v="U"/>
    <n v="2"/>
    <m/>
    <n v="2.5000000000000001E-2"/>
    <n v="0.30769230769230771"/>
    <n v="0.61538461538461542"/>
    <x v="0"/>
    <x v="0"/>
  </r>
  <r>
    <n v="20"/>
    <s v="Week 19"/>
    <n v="19"/>
    <n v="19"/>
    <d v="1900-01-04T02:47:00"/>
    <d v="1899-12-30T04:49:00"/>
    <x v="4"/>
    <n v="2"/>
    <s v="Same"/>
    <s v="Time-Series Analysis"/>
    <n v="1"/>
    <n v="15"/>
    <n v="4"/>
    <n v="5"/>
    <n v="5"/>
    <n v="5"/>
    <n v="4"/>
    <n v="5"/>
    <x v="19"/>
    <n v="57.473864877516"/>
    <x v="0"/>
    <x v="0"/>
    <s v="U"/>
    <s v="U"/>
    <x v="0"/>
    <s v="U"/>
    <s v="U"/>
    <s v="U"/>
    <n v="2"/>
    <m/>
    <n v="2.5000000000000001E-2"/>
    <n v="0.30769230769230771"/>
    <n v="0.61538461538461542"/>
    <x v="0"/>
    <x v="0"/>
  </r>
  <r>
    <n v="21"/>
    <s v="Week 20"/>
    <n v="20"/>
    <n v="20"/>
    <d v="1900-01-04T07:04:00"/>
    <d v="1899-12-30T04:17:00"/>
    <x v="4"/>
    <n v="3"/>
    <s v="Same"/>
    <s v="Machine Learning"/>
    <n v="1"/>
    <n v="5"/>
    <n v="3"/>
    <n v="1"/>
    <n v="4"/>
    <n v="4"/>
    <n v="3"/>
    <n v="3"/>
    <x v="20"/>
    <n v="59.478857856139811"/>
    <x v="0"/>
    <x v="0"/>
    <s v="U"/>
    <s v="U"/>
    <x v="0"/>
    <s v="U"/>
    <s v="U"/>
    <s v="U"/>
    <n v="2"/>
    <m/>
    <n v="1.8749999999999999E-2"/>
    <n v="0.23076923076923078"/>
    <n v="0.46153846153846156"/>
    <x v="0"/>
    <x v="0"/>
  </r>
  <r>
    <n v="22"/>
    <s v="Week 20"/>
    <n v="20"/>
    <n v="20"/>
    <d v="1900-01-04T10:56:00"/>
    <d v="1899-12-30T03:52:00"/>
    <x v="4"/>
    <n v="4"/>
    <s v="Same"/>
    <s v="Big Data Projects"/>
    <n v="1"/>
    <n v="7"/>
    <n v="3"/>
    <n v="2"/>
    <n v="4"/>
    <n v="4"/>
    <n v="2"/>
    <n v="3"/>
    <x v="21"/>
    <n v="61.288812607271041"/>
    <x v="0"/>
    <x v="0"/>
    <s v="U"/>
    <s v="U"/>
    <x v="0"/>
    <s v="U"/>
    <s v="U"/>
    <s v="U"/>
    <n v="3"/>
    <m/>
    <n v="1.2500000000000001E-2"/>
    <n v="0.15384615384615385"/>
    <n v="0.46153846153846156"/>
    <x v="0"/>
    <x v="0"/>
  </r>
  <r>
    <n v="23"/>
    <s v="Week 21"/>
    <n v="21"/>
    <n v="21"/>
    <d v="1900-01-04T16:01:00"/>
    <d v="1899-12-30T05:05:00"/>
    <x v="5"/>
    <s v="41_x000a_42"/>
    <s v="Same"/>
    <s v="Code of Ethics and Standards of Professional Conduct_x000a_Guidance for Standards I–VII"/>
    <n v="2"/>
    <n v="2"/>
    <n v="3"/>
    <n v="1"/>
    <n v="3"/>
    <n v="5"/>
    <n v="5"/>
    <n v="5"/>
    <x v="22"/>
    <n v="63.668278982680619"/>
    <x v="0"/>
    <x v="0"/>
    <s v="U"/>
    <s v="U"/>
    <x v="0"/>
    <s v="U"/>
    <s v="U"/>
    <s v="U"/>
    <n v="2"/>
    <m/>
    <n v="3.125E-2"/>
    <n v="0.5"/>
    <n v="1"/>
    <x v="0"/>
    <x v="0"/>
  </r>
  <r>
    <n v="24"/>
    <s v="Week 21"/>
    <n v="21"/>
    <n v="21"/>
    <d v="1900-01-04T16:37:00"/>
    <d v="1899-12-30T00:36:00"/>
    <x v="5"/>
    <n v="43"/>
    <s v="Same"/>
    <s v="Application of the Code and Standards-Level II"/>
    <n v="1"/>
    <n v="2"/>
    <n v="3"/>
    <n v="1"/>
    <n v="3"/>
    <n v="5"/>
    <n v="5"/>
    <n v="5"/>
    <x v="23"/>
    <n v="63.949134030269953"/>
    <x v="0"/>
    <x v="0"/>
    <s v="U"/>
    <s v="U"/>
    <x v="0"/>
    <s v="U"/>
    <s v="U"/>
    <s v="U"/>
    <n v="2"/>
    <m/>
    <n v="3.125E-2"/>
    <n v="0.5"/>
    <n v="1"/>
    <x v="0"/>
    <x v="0"/>
  </r>
  <r>
    <n v="25"/>
    <s v="Week 22"/>
    <n v="22"/>
    <n v="22"/>
    <d v="1900-01-05T00:04:00"/>
    <d v="1899-12-30T07:27:00"/>
    <x v="6"/>
    <n v="5"/>
    <s v="Same"/>
    <s v="Currency Exchange Rates-Understanding Equilibrium Value"/>
    <n v="1"/>
    <n v="13"/>
    <n v="5"/>
    <n v="4"/>
    <n v="5"/>
    <n v="5"/>
    <n v="5"/>
    <n v="5"/>
    <x v="24"/>
    <n v="67.436417537837428"/>
    <x v="0"/>
    <x v="0"/>
    <s v="U"/>
    <s v="U"/>
    <x v="0"/>
    <s v="U"/>
    <s v="U"/>
    <s v="U"/>
    <n v="3"/>
    <m/>
    <n v="3.125E-2"/>
    <n v="0.45454545454545453"/>
    <n v="1.3636363636363635"/>
    <x v="0"/>
    <x v="0"/>
  </r>
  <r>
    <n v="26"/>
    <s v="Week 23"/>
    <n v="23"/>
    <n v="23"/>
    <d v="1900-01-05T03:02:00"/>
    <d v="1899-12-30T02:58:00"/>
    <x v="6"/>
    <n v="6"/>
    <s v="Same"/>
    <s v="Economic Growth"/>
    <n v="1"/>
    <n v="12"/>
    <n v="3"/>
    <n v="2"/>
    <n v="3"/>
    <n v="4"/>
    <n v="4"/>
    <n v="4"/>
    <x v="25"/>
    <n v="68.82508971758466"/>
    <x v="0"/>
    <x v="0"/>
    <s v="U"/>
    <s v="U"/>
    <x v="0"/>
    <s v="U"/>
    <s v="U"/>
    <s v="U"/>
    <n v="2"/>
    <m/>
    <n v="2.5000000000000001E-2"/>
    <n v="0.36363636363636365"/>
    <n v="0.72727272727272729"/>
    <x v="0"/>
    <x v="0"/>
  </r>
  <r>
    <n v="27"/>
    <s v="Week 23"/>
    <n v="23"/>
    <n v="23"/>
    <d v="1900-01-05T04:50:00"/>
    <d v="1899-12-30T01:48:00"/>
    <x v="6"/>
    <n v="7"/>
    <s v="Same"/>
    <s v="Economics of Regulation"/>
    <n v="1"/>
    <n v="9"/>
    <n v="2"/>
    <n v="1"/>
    <n v="2"/>
    <n v="4"/>
    <n v="2"/>
    <n v="5"/>
    <x v="26"/>
    <n v="69.667654860352641"/>
    <x v="0"/>
    <x v="0"/>
    <s v="U"/>
    <s v="U"/>
    <x v="0"/>
    <s v="U"/>
    <s v="U"/>
    <s v="U"/>
    <n v="2"/>
    <m/>
    <n v="1.2500000000000001E-2"/>
    <n v="0.18181818181818182"/>
    <n v="0.36363636363636365"/>
    <x v="0"/>
    <x v="0"/>
  </r>
  <r>
    <n v="28"/>
    <s v="Week 24"/>
    <n v="24"/>
    <n v="24"/>
    <d v="1900-01-05T12:07:00"/>
    <d v="1899-12-30T07:17:00"/>
    <x v="7"/>
    <n v="25"/>
    <s v="Same"/>
    <s v="The Term Structure and Interest Rate Dynamics"/>
    <n v="1"/>
    <n v="11"/>
    <n v="4"/>
    <n v="4"/>
    <n v="5"/>
    <n v="5"/>
    <n v="5"/>
    <n v="5"/>
    <x v="27"/>
    <n v="73.076923076923094"/>
    <x v="0"/>
    <x v="0"/>
    <s v="U"/>
    <s v="U"/>
    <x v="0"/>
    <s v="U"/>
    <s v="U"/>
    <s v="U"/>
    <n v="2"/>
    <m/>
    <n v="3.125E-2"/>
    <n v="0.22727272727272727"/>
    <n v="0.45454545454545453"/>
    <x v="0"/>
    <x v="0"/>
  </r>
  <r>
    <n v="29"/>
    <s v="Week 24"/>
    <n v="24"/>
    <n v="24"/>
    <d v="1900-01-05T14:59:00"/>
    <d v="1899-12-30T02:52:00"/>
    <x v="7"/>
    <n v="26"/>
    <s v="Same"/>
    <s v="The Arbitrage-Free Valuation Framework"/>
    <n v="1"/>
    <n v="9"/>
    <n v="3"/>
    <n v="4"/>
    <n v="4"/>
    <n v="4"/>
    <n v="4"/>
    <n v="5"/>
    <x v="28"/>
    <n v="74.418786082072103"/>
    <x v="0"/>
    <x v="0"/>
    <s v="U"/>
    <s v="U"/>
    <x v="0"/>
    <s v="U"/>
    <s v="U"/>
    <s v="U"/>
    <n v="2"/>
    <m/>
    <n v="2.5000000000000001E-2"/>
    <n v="0.18181818181818182"/>
    <n v="0.36363636363636365"/>
    <x v="0"/>
    <x v="0"/>
  </r>
  <r>
    <n v="30"/>
    <s v="Week 25"/>
    <n v="25"/>
    <n v="25"/>
    <d v="1900-01-05T19:40:00"/>
    <d v="1899-12-30T04:41:00"/>
    <x v="7"/>
    <n v="27"/>
    <s v="Same"/>
    <s v="Valuation and Analysis of Bonds with Embedded Options"/>
    <n v="1"/>
    <n v="17"/>
    <n v="3"/>
    <n v="4"/>
    <n v="4"/>
    <n v="5"/>
    <n v="4"/>
    <n v="5"/>
    <x v="29"/>
    <n v="76.611015759088801"/>
    <x v="0"/>
    <x v="0"/>
    <s v="U"/>
    <s v="U"/>
    <x v="0"/>
    <s v="U"/>
    <s v="U"/>
    <s v="U"/>
    <n v="3"/>
    <m/>
    <n v="2.5000000000000001E-2"/>
    <n v="0.18181818181818182"/>
    <n v="0.54545454545454541"/>
    <x v="0"/>
    <x v="0"/>
  </r>
  <r>
    <n v="31"/>
    <s v="Week 26"/>
    <n v="26"/>
    <n v="26"/>
    <d v="1900-01-06T00:03:00"/>
    <d v="1899-12-30T04:23:00"/>
    <x v="7"/>
    <n v="28"/>
    <s v="Same"/>
    <s v="Credit Analysis Models"/>
    <n v="1"/>
    <n v="8"/>
    <n v="3"/>
    <n v="4"/>
    <n v="5"/>
    <n v="4"/>
    <n v="4"/>
    <n v="5"/>
    <x v="30"/>
    <n v="78.662817912310828"/>
    <x v="0"/>
    <x v="0"/>
    <s v="U"/>
    <s v="U"/>
    <x v="0"/>
    <s v="U"/>
    <s v="U"/>
    <s v="U"/>
    <n v="3"/>
    <m/>
    <n v="2.5000000000000001E-2"/>
    <n v="0.18181818181818182"/>
    <n v="0.54545454545454541"/>
    <x v="0"/>
    <x v="0"/>
  </r>
  <r>
    <n v="32"/>
    <s v="Week 26"/>
    <n v="26"/>
    <n v="26"/>
    <d v="1900-01-06T03:44:00"/>
    <d v="1899-12-30T03:41:00"/>
    <x v="7"/>
    <n v="29"/>
    <s v="Same"/>
    <s v="Credit Default Swaps"/>
    <n v="1"/>
    <n v="5"/>
    <n v="2"/>
    <n v="3"/>
    <n v="5"/>
    <n v="5"/>
    <n v="5"/>
    <n v="5"/>
    <x v="31"/>
    <n v="80.386955843345305"/>
    <x v="0"/>
    <x v="0"/>
    <s v="U"/>
    <s v="U"/>
    <x v="0"/>
    <s v="U"/>
    <s v="U"/>
    <s v="U"/>
    <n v="2"/>
    <m/>
    <n v="3.125E-2"/>
    <n v="0.22727272727272727"/>
    <n v="0.45454545454545453"/>
    <x v="0"/>
    <x v="0"/>
  </r>
  <r>
    <n v="33"/>
    <s v="Week 27"/>
    <n v="27"/>
    <n v="27"/>
    <d v="1900-01-06T06:47:00"/>
    <d v="1899-12-30T03:03:00"/>
    <x v="8"/>
    <n v="39"/>
    <s v="Same"/>
    <s v="Economics and Investment Markets"/>
    <n v="1"/>
    <n v="11"/>
    <n v="2"/>
    <n v="2"/>
    <n v="4"/>
    <n v="5"/>
    <n v="4"/>
    <n v="5"/>
    <x v="32"/>
    <n v="81.814635668591066"/>
    <x v="0"/>
    <x v="0"/>
    <s v="U"/>
    <s v="U"/>
    <x v="0"/>
    <s v="U"/>
    <s v="U"/>
    <s v="U"/>
    <n v="2"/>
    <m/>
    <n v="2.5000000000000001E-2"/>
    <n v="0.18181818181818182"/>
    <n v="0.36363636363636365"/>
    <x v="0"/>
    <x v="0"/>
  </r>
  <r>
    <n v="34"/>
    <s v="Week 27"/>
    <n v="27"/>
    <n v="27"/>
    <d v="1900-01-06T10:07:00"/>
    <d v="1899-12-30T03:20:00"/>
    <x v="8"/>
    <n v="36"/>
    <s v="Same"/>
    <s v="Using Multifactor Models"/>
    <n v="1"/>
    <n v="7"/>
    <n v="3"/>
    <n v="4"/>
    <n v="4"/>
    <n v="4"/>
    <n v="4"/>
    <n v="5"/>
    <x v="33"/>
    <n v="83.374941488531775"/>
    <x v="0"/>
    <x v="0"/>
    <s v="U"/>
    <s v="U"/>
    <x v="0"/>
    <s v="U"/>
    <s v="U"/>
    <s v="U"/>
    <n v="2"/>
    <m/>
    <n v="2.5000000000000001E-2"/>
    <n v="0.18181818181818182"/>
    <n v="0.36363636363636365"/>
    <x v="0"/>
    <x v="0"/>
  </r>
  <r>
    <n v="35"/>
    <s v="Week 28"/>
    <n v="28"/>
    <n v="28"/>
    <d v="1900-01-06T13:27:00"/>
    <d v="1899-12-30T03:20:00"/>
    <x v="8"/>
    <n v="40"/>
    <s v="Same"/>
    <s v="Analysis of Active Portfolio Management"/>
    <n v="1"/>
    <n v="6"/>
    <n v="3"/>
    <n v="4"/>
    <n v="5"/>
    <n v="5"/>
    <n v="4"/>
    <n v="5"/>
    <x v="33"/>
    <n v="84.935247308472483"/>
    <x v="0"/>
    <x v="0"/>
    <s v="U"/>
    <s v="U"/>
    <x v="0"/>
    <s v="U"/>
    <s v="U"/>
    <s v="U"/>
    <n v="2"/>
    <m/>
    <n v="2.5000000000000001E-2"/>
    <n v="0.18181818181818182"/>
    <n v="0.36363636363636365"/>
    <x v="0"/>
    <x v="0"/>
  </r>
  <r>
    <n v="36"/>
    <s v="Week 28"/>
    <n v="28"/>
    <n v="28"/>
    <d v="1900-01-06T16:52:00"/>
    <d v="1899-12-30T03:25:00"/>
    <x v="8"/>
    <n v="37"/>
    <s v="Same"/>
    <s v="Measuring and Managing Market Risk"/>
    <n v="1"/>
    <n v="12"/>
    <n v="2"/>
    <n v="1"/>
    <n v="3"/>
    <n v="3"/>
    <n v="3"/>
    <n v="4"/>
    <x v="34"/>
    <n v="86.534560773911707"/>
    <x v="0"/>
    <x v="0"/>
    <s v="U"/>
    <s v="U"/>
    <x v="0"/>
    <s v="U"/>
    <s v="U"/>
    <s v="U"/>
    <n v="2"/>
    <m/>
    <n v="1.8749999999999999E-2"/>
    <n v="0.13636363636363635"/>
    <n v="0.27272727272727271"/>
    <x v="0"/>
    <x v="0"/>
  </r>
  <r>
    <n v="37"/>
    <s v="Week 29"/>
    <n v="29"/>
    <n v="29"/>
    <d v="1900-01-06T22:14:00"/>
    <d v="1899-12-30T05:22:00"/>
    <x v="8"/>
    <n v="35"/>
    <s v="Same"/>
    <s v="Exchange-Traded Funds-Mechanics and Applications"/>
    <n v="1"/>
    <n v="8"/>
    <n v="3"/>
    <n v="1"/>
    <n v="4"/>
    <n v="5"/>
    <n v="4"/>
    <n v="4"/>
    <x v="35"/>
    <n v="89.046653144016247"/>
    <x v="0"/>
    <x v="0"/>
    <s v="U"/>
    <s v="U"/>
    <x v="0"/>
    <s v="U"/>
    <s v="U"/>
    <s v="U"/>
    <n v="2"/>
    <m/>
    <n v="2.5000000000000001E-2"/>
    <n v="0.18181818181818182"/>
    <n v="0.36363636363636365"/>
    <x v="0"/>
    <x v="0"/>
  </r>
  <r>
    <n v="38"/>
    <s v="Week 30"/>
    <n v="30"/>
    <n v="30"/>
    <d v="1900-01-07T03:03:00"/>
    <n v="0.20069444444444443"/>
    <x v="8"/>
    <n v="38"/>
    <s v="Same"/>
    <s v="Backtesting and Simulation"/>
    <n v="1"/>
    <n v="8"/>
    <n v="3"/>
    <n v="3"/>
    <n v="4"/>
    <n v="4"/>
    <n v="3"/>
    <n v="4"/>
    <x v="19"/>
    <n v="91.301295053830572"/>
    <x v="0"/>
    <x v="0"/>
    <s v="U"/>
    <s v="U"/>
    <x v="0"/>
    <s v="U"/>
    <s v="U"/>
    <s v="U"/>
    <n v="3"/>
    <m/>
    <n v="1.8749999999999999E-2"/>
    <n v="0.13636363636363635"/>
    <n v="0.40909090909090906"/>
    <x v="0"/>
    <x v="0"/>
  </r>
  <r>
    <n v="39"/>
    <s v="Week 31"/>
    <n v="31"/>
    <n v="31"/>
    <d v="1900-01-07T08:31:00"/>
    <d v="1899-12-30T05:28:00"/>
    <x v="9"/>
    <n v="15"/>
    <s v="Same"/>
    <s v="Analysis of Dividends and Share Repurchases"/>
    <n v="1"/>
    <n v="14"/>
    <n v="2"/>
    <n v="2"/>
    <n v="2"/>
    <n v="3"/>
    <n v="3"/>
    <n v="3"/>
    <x v="36"/>
    <n v="93.860196598533335"/>
    <x v="0"/>
    <x v="0"/>
    <s v="U"/>
    <s v="U"/>
    <x v="0"/>
    <s v="U"/>
    <s v="U"/>
    <s v="U"/>
    <n v="2"/>
    <m/>
    <n v="1.8749999999999999E-2"/>
    <n v="0.2"/>
    <n v="0.4"/>
    <x v="0"/>
    <x v="0"/>
  </r>
  <r>
    <n v="40"/>
    <s v="Week 31"/>
    <n v="31"/>
    <n v="31"/>
    <d v="1900-01-07T10:58:00"/>
    <d v="1899-12-30T02:27:00"/>
    <x v="9"/>
    <n v="16"/>
    <s v="Same"/>
    <s v="Environmental, Social, and Governance (ESG) Considerations in Investment Analysis"/>
    <n v="1"/>
    <n v="4"/>
    <n v="1"/>
    <n v="1"/>
    <n v="1"/>
    <n v="3"/>
    <n v="3"/>
    <n v="3"/>
    <x v="37"/>
    <n v="95.007021376189755"/>
    <x v="0"/>
    <x v="0"/>
    <s v="U"/>
    <s v="U"/>
    <x v="0"/>
    <s v="U"/>
    <s v="U"/>
    <s v="U"/>
    <n v="2"/>
    <m/>
    <n v="1.8749999999999999E-2"/>
    <n v="0.2"/>
    <n v="0.4"/>
    <x v="0"/>
    <x v="0"/>
  </r>
  <r>
    <n v="41"/>
    <s v="Week 32"/>
    <n v="32"/>
    <n v="32"/>
    <d v="1900-01-07T18:01:00"/>
    <d v="1899-12-30T07:03:00"/>
    <x v="9"/>
    <n v="17"/>
    <s v="Same"/>
    <s v="Cost of Capital-Advanced Topics"/>
    <n v="1"/>
    <n v="6"/>
    <n v="4"/>
    <n v="4"/>
    <n v="4"/>
    <n v="3"/>
    <n v="5"/>
    <n v="4"/>
    <x v="38"/>
    <n v="98.307068185364344"/>
    <x v="0"/>
    <x v="0"/>
    <s v="U"/>
    <s v="U"/>
    <x v="0"/>
    <s v="U"/>
    <s v="U"/>
    <s v="U"/>
    <n v="3"/>
    <m/>
    <n v="3.125E-2"/>
    <n v="0.33333333333333331"/>
    <n v="1"/>
    <x v="0"/>
    <x v="0"/>
  </r>
  <r>
    <n v="42"/>
    <s v="Week 33"/>
    <n v="33"/>
    <n v="33"/>
    <d v="1900-01-07T21:38:00"/>
    <d v="1899-12-30T03:37:00"/>
    <x v="9"/>
    <n v="18"/>
    <s v="Same"/>
    <s v="Corporate Restructuring"/>
    <n v="1"/>
    <n v="7"/>
    <n v="4"/>
    <n v="2"/>
    <n v="3"/>
    <n v="2"/>
    <n v="4"/>
    <n v="4"/>
    <x v="39"/>
    <n v="100"/>
    <x v="0"/>
    <x v="0"/>
    <s v="U"/>
    <s v="U"/>
    <x v="0"/>
    <s v="U"/>
    <s v="U"/>
    <s v="U"/>
    <n v="2"/>
    <m/>
    <n v="2.5000000000000001E-2"/>
    <n v="0.26666666666666666"/>
    <n v="0.53333333333333333"/>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2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7">
    <pivotField numFmtId="3" showAll="0"/>
    <pivotField showAll="0"/>
    <pivotField numFmtId="3" showAll="0"/>
    <pivotField numFmtId="169" showAll="0"/>
    <pivotField showAll="0"/>
    <pivotField showAll="0"/>
    <pivotField showAll="0">
      <items count="15">
        <item x="0"/>
        <item m="1" x="10"/>
        <item x="9"/>
        <item m="1" x="12"/>
        <item m="1" x="13"/>
        <item x="1"/>
        <item x="6"/>
        <item x="3"/>
        <item x="5"/>
        <item x="7"/>
        <item m="1" x="11"/>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3">
        <item m="1" x="1"/>
        <item x="0"/>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4"/>
  </rowFields>
  <rowItems count="2">
    <i>
      <x v="1"/>
    </i>
    <i t="grand">
      <x/>
    </i>
  </rowItems>
  <colItems count="1">
    <i/>
  </colItems>
  <dataFields count="1">
    <dataField name="Sum of No. of chapters" fld="10" baseField="0" baseItem="0"/>
  </dataFields>
  <formats count="6">
    <format dxfId="83">
      <pivotArea type="all" dataOnly="0" outline="0" fieldPosition="0"/>
    </format>
    <format dxfId="82">
      <pivotArea outline="0" collapsedLevelsAreSubtotals="1" fieldPosition="0"/>
    </format>
    <format dxfId="81">
      <pivotArea field="34" type="button" dataOnly="0" labelOnly="1" outline="0" axis="axisRow" fieldPosition="0"/>
    </format>
    <format dxfId="80">
      <pivotArea dataOnly="0" labelOnly="1" fieldPosition="0">
        <references count="1">
          <reference field="34" count="0"/>
        </references>
      </pivotArea>
    </format>
    <format dxfId="79">
      <pivotArea dataOnly="0" labelOnly="1" grandRow="1" outline="0" fieldPosition="0"/>
    </format>
    <format dxfId="78">
      <pivotArea dataOnly="0" labelOnly="1" outline="0" axis="axisValues" fieldPosition="0"/>
    </format>
  </formats>
  <chartFormats count="2">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2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7">
    <pivotField numFmtId="3" showAll="0"/>
    <pivotField showAll="0"/>
    <pivotField numFmtId="3" showAll="0"/>
    <pivotField numFmtId="169" showAll="0"/>
    <pivotField showAll="0"/>
    <pivotField showAll="0"/>
    <pivotField showAll="0">
      <items count="15">
        <item x="0"/>
        <item m="1" x="10"/>
        <item x="9"/>
        <item m="1" x="12"/>
        <item m="1" x="13"/>
        <item x="1"/>
        <item x="6"/>
        <item x="3"/>
        <item x="5"/>
        <item x="7"/>
        <item m="1" x="11"/>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89">
      <pivotArea type="all" dataOnly="0" outline="0" fieldPosition="0"/>
    </format>
    <format dxfId="88">
      <pivotArea outline="0" collapsedLevelsAreSubtotals="1" fieldPosition="0"/>
    </format>
    <format dxfId="87">
      <pivotArea field="20" type="button" dataOnly="0" labelOnly="1" outline="0" axis="axisRow" fieldPosition="0"/>
    </format>
    <format dxfId="86">
      <pivotArea dataOnly="0" labelOnly="1" fieldPosition="0">
        <references count="1">
          <reference field="20" count="0"/>
        </references>
      </pivotArea>
    </format>
    <format dxfId="85">
      <pivotArea dataOnly="0" labelOnly="1" grandRow="1" outline="0" fieldPosition="0"/>
    </format>
    <format dxfId="84">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2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7">
    <pivotField numFmtId="3" showAll="0"/>
    <pivotField showAll="0"/>
    <pivotField numFmtId="3" showAll="0"/>
    <pivotField numFmtId="169" showAll="0"/>
    <pivotField showAll="0"/>
    <pivotField showAll="0"/>
    <pivotField showAll="0">
      <items count="15">
        <item x="0"/>
        <item m="1" x="10"/>
        <item x="9"/>
        <item m="1" x="12"/>
        <item m="1" x="13"/>
        <item x="1"/>
        <item x="6"/>
        <item x="3"/>
        <item x="5"/>
        <item x="7"/>
        <item m="1" x="11"/>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95">
      <pivotArea type="all" dataOnly="0" outline="0" fieldPosition="0"/>
    </format>
    <format dxfId="94">
      <pivotArea outline="0" collapsedLevelsAreSubtotals="1" fieldPosition="0"/>
    </format>
    <format dxfId="93">
      <pivotArea field="21" type="button" dataOnly="0" labelOnly="1" outline="0" axis="axisRow" fieldPosition="0"/>
    </format>
    <format dxfId="92">
      <pivotArea dataOnly="0" labelOnly="1" fieldPosition="0">
        <references count="1">
          <reference field="21" count="0"/>
        </references>
      </pivotArea>
    </format>
    <format dxfId="91">
      <pivotArea dataOnly="0" labelOnly="1" grandRow="1" outline="0" fieldPosition="0"/>
    </format>
    <format dxfId="90">
      <pivotArea dataOnly="0" labelOnly="1" outline="0" axis="axisValues" fieldPosition="0"/>
    </format>
  </formats>
  <chartFormats count="2">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2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7">
    <pivotField numFmtId="3" showAll="0"/>
    <pivotField showAll="0"/>
    <pivotField numFmtId="3" showAll="0"/>
    <pivotField numFmtId="169" showAll="0"/>
    <pivotField showAll="0"/>
    <pivotField showAll="0"/>
    <pivotField showAll="0">
      <items count="15">
        <item x="0"/>
        <item m="1" x="10"/>
        <item x="9"/>
        <item m="1" x="12"/>
        <item m="1" x="13"/>
        <item x="1"/>
        <item x="6"/>
        <item x="3"/>
        <item x="5"/>
        <item x="7"/>
        <item m="1" x="11"/>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3">
        <item m="1" x="1"/>
        <item x="0"/>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3"/>
  </rowFields>
  <rowItems count="2">
    <i>
      <x v="1"/>
    </i>
    <i t="grand">
      <x/>
    </i>
  </rowItems>
  <colItems count="1">
    <i/>
  </colItems>
  <dataFields count="1">
    <dataField name="Sum of No. of chapters" fld="10" baseField="0" baseItem="0"/>
  </dataFields>
  <formats count="6">
    <format dxfId="101">
      <pivotArea type="all" dataOnly="0" outline="0" fieldPosition="0"/>
    </format>
    <format dxfId="100">
      <pivotArea outline="0" collapsedLevelsAreSubtotals="1" fieldPosition="0"/>
    </format>
    <format dxfId="99">
      <pivotArea field="33" type="button" dataOnly="0" labelOnly="1" outline="0" axis="axisRow" fieldPosition="0"/>
    </format>
    <format dxfId="98">
      <pivotArea dataOnly="0" labelOnly="1" fieldPosition="0">
        <references count="1">
          <reference field="33" count="0"/>
        </references>
      </pivotArea>
    </format>
    <format dxfId="97">
      <pivotArea dataOnly="0" labelOnly="1" grandRow="1" outline="0" fieldPosition="0"/>
    </format>
    <format dxfId="96">
      <pivotArea dataOnly="0" labelOnly="1" outline="0" axis="axisValues" fieldPosition="0"/>
    </format>
  </formats>
  <chartFormats count="2">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2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7">
    <pivotField numFmtId="3" showAll="0"/>
    <pivotField showAll="0"/>
    <pivotField numFmtId="3" showAll="0"/>
    <pivotField numFmtId="169" showAll="0"/>
    <pivotField showAll="0"/>
    <pivotField showAll="0"/>
    <pivotField showAll="0">
      <items count="15">
        <item x="0"/>
        <item m="1" x="10"/>
        <item x="9"/>
        <item m="1" x="12"/>
        <item m="1" x="13"/>
        <item x="1"/>
        <item x="6"/>
        <item x="3"/>
        <item x="5"/>
        <item x="7"/>
        <item m="1" x="11"/>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axis="axisRow" showAll="0">
      <items count="3">
        <item m="1" x="1"/>
        <item x="0"/>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4"/>
  </rowFields>
  <rowItems count="2">
    <i>
      <x v="1"/>
    </i>
    <i t="grand">
      <x/>
    </i>
  </rowItems>
  <colItems count="1">
    <i/>
  </colItems>
  <dataFields count="1">
    <dataField name="Sum of No. of chapters" fld="10" baseField="0" baseItem="0"/>
  </dataFields>
  <formats count="6">
    <format dxfId="107">
      <pivotArea type="all" dataOnly="0" outline="0" fieldPosition="0"/>
    </format>
    <format dxfId="106">
      <pivotArea outline="0" collapsedLevelsAreSubtotals="1" fieldPosition="0"/>
    </format>
    <format dxfId="105">
      <pivotArea field="24" type="button" dataOnly="0" labelOnly="1" outline="0" axis="axisRow" fieldPosition="0"/>
    </format>
    <format dxfId="104">
      <pivotArea dataOnly="0" labelOnly="1" fieldPosition="0">
        <references count="1">
          <reference field="24" count="0"/>
        </references>
      </pivotArea>
    </format>
    <format dxfId="103">
      <pivotArea dataOnly="0" labelOnly="1" grandRow="1" outline="0" fieldPosition="0"/>
    </format>
    <format dxfId="102">
      <pivotArea dataOnly="0" labelOnly="1" outline="0" axis="axisValues" fieldPosition="0"/>
    </format>
  </formats>
  <chartFormats count="2">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4">
        <i x="0" s="1"/>
        <i x="9" s="1"/>
        <i x="1" s="1"/>
        <i x="6" s="1"/>
        <i x="3" s="1"/>
        <i x="5" s="1"/>
        <i x="7" s="1"/>
        <i x="2" s="1"/>
        <i x="8" s="1"/>
        <i x="4" s="1"/>
        <i x="10" s="1"/>
        <i x="12" s="1"/>
        <i x="13"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J50" totalsRowShown="0" headerRowDxfId="147" dataDxfId="145" headerRowBorderDxfId="146" tableBorderDxfId="144" totalsRowBorderDxfId="143">
  <autoFilter ref="B8:AJ50" xr:uid="{861EE33C-73C1-4F33-9192-F531CCE54052}"/>
  <tableColumns count="35">
    <tableColumn id="9" xr3:uid="{1F1DE16E-278E-4EF8-B2BB-8924E21CCBFE}" name="Order of Study" dataDxfId="142"/>
    <tableColumn id="33" xr3:uid="{BBAB2BFB-594B-429D-A8B8-83652595607C}" name="Schedule" dataDxfId="141">
      <calculatedColumnFormula>IF(Master_Data[[#This Row],[Column1]]="Done","",IF(Master_Data[[#This Row],[Column1]]=MIN(Master_Data[Column1]),"Current Week",CONCATENATE("Week ",Master_Data[[#This Row],[Column1]])))</calculatedColumnFormula>
    </tableColumn>
    <tableColumn id="32" xr3:uid="{9A94244A-9683-470A-BBD0-A46326317C2C}" name="Column1" dataDxfId="140">
      <calculatedColumnFormula>IF(Master_Data[[#This Row],[Cum. Undone hrs]]=0,"Done",ROUNDUP(Master_Data[[#This Row],[Cum. Undone hrs]]/Working!$C$8,0))</calculatedColumnFormula>
    </tableColumn>
    <tableColumn id="30" xr3:uid="{870EBD19-DC72-4312-B209-C8AADE869148}" name="Column2" dataDxfId="139">
      <calculatedColumnFormula>IF(OR(D9=D8,D9=D8+1),Master_Data[[#This Row],[Column1]],D9-1)</calculatedColumnFormula>
    </tableColumn>
    <tableColumn id="36" xr3:uid="{3C54E2A6-7B59-4031-AE8B-F9A780112337}" name="Cum. Undone hrs" dataDxfId="138">
      <calculatedColumnFormula>SUM($G$9:G9)</calculatedColumnFormula>
    </tableColumn>
    <tableColumn id="27" xr3:uid="{2C857C23-47AE-4F9C-AA57-E6F2EC1B8477}" name="Undone hrs" dataDxfId="137">
      <calculatedColumnFormula>IF(Master_Data[[#This Row],[Lectures]]="D","",Master_Data[[#This Row],[Duration (hh:mm)]])</calculatedColumnFormula>
    </tableColumn>
    <tableColumn id="1" xr3:uid="{00000000-0010-0000-0000-000001000000}" name="Subject" dataDxfId="136"/>
    <tableColumn id="2" xr3:uid="{00000000-0010-0000-0000-000002000000}" name="Reading" dataDxfId="135"/>
    <tableColumn id="24" xr3:uid="{12F2DE11-D6A3-41B2-B62E-C51E27851BC0}" name="Changes" dataDxfId="134"/>
    <tableColumn id="3" xr3:uid="{00000000-0010-0000-0000-000003000000}" name="Topic" dataDxfId="133"/>
    <tableColumn id="35" xr3:uid="{BB39045B-8147-4BF9-B080-E74CB6A6A59A}" name="No. of chapters" dataDxfId="132"/>
    <tableColumn id="13" xr3:uid="{831F4477-25B4-4195-AB9B-0AADBF9D7D3E}" name="No. of LOS" dataDxfId="131"/>
    <tableColumn id="21" xr3:uid="{75701E24-4A87-4E0F-9D5A-73640F8E25C4}" name="Lengthy" dataDxfId="130"/>
    <tableColumn id="20" xr3:uid="{77CA19E4-4B02-44E6-B959-FD5250D705DD}" name="Numerical or Not" dataDxfId="129"/>
    <tableColumn id="19" xr3:uid="{2E72736C-C56E-4D52-B458-A87278BC9CE2}" name="Diff. Level" dataDxfId="128"/>
    <tableColumn id="22" xr3:uid="{BC8C5220-F4FC-4DDB-BF01-412D8FEECE86}" name="Confusing" dataDxfId="127"/>
    <tableColumn id="18" xr3:uid="{2E66286A-5B10-41F1-B2EC-C16040833BBF}" name="Imp. Level" dataDxfId="126"/>
    <tableColumn id="17" xr3:uid="{7EEA9AA8-4E26-4B33-AA7E-0D9AA4589720}" name="Reqd. Prac." dataDxfId="125"/>
    <tableColumn id="16" xr3:uid="{BD71F8AD-1CE1-4DAB-BF8A-6F05372A3D94}" name="Duration (hh:mm)" dataDxfId="124"/>
    <tableColumn id="15" xr3:uid="{14D87CA9-408F-464E-88DB-8BE470862CA1}" name="Cum. (%)" dataDxfId="123">
      <calculatedColumnFormula>(SUM($T$9:T9)/$T$4)*100</calculatedColumnFormula>
    </tableColumn>
    <tableColumn id="4" xr3:uid="{00000000-0010-0000-0000-000004000000}" name="Lectures" dataDxfId="122"/>
    <tableColumn id="5" xr3:uid="{00000000-0010-0000-0000-000005000000}" name="Self Study" dataDxfId="121"/>
    <tableColumn id="10" xr3:uid="{00000000-0010-0000-0000-00000A000000}" name="Inst. EOC Ques." dataDxfId="120"/>
    <tableColumn id="8" xr3:uid="{00000000-0010-0000-0000-000008000000}" name="Prac. Book" dataDxfId="119"/>
    <tableColumn id="6" xr3:uid="{00000000-0010-0000-0000-000006000000}" name="Revision" dataDxfId="118"/>
    <tableColumn id="11" xr3:uid="{00000000-0010-0000-0000-00000B000000}" name="Inst. Online Portal" dataDxfId="117"/>
    <tableColumn id="14" xr3:uid="{AEDD019D-42C9-488A-91CF-CB6B9FD52249}" name="Schweser Prac. Bk 1" dataDxfId="116"/>
    <tableColumn id="7" xr3:uid="{00000000-0010-0000-0000-000007000000}" name="Schweser Prac. Bk 2" dataDxfId="115"/>
    <tableColumn id="25" xr3:uid="{960A4FD1-ACCA-4C3B-BB49-555780F1E120}" name="Confidence Level" dataDxfId="114"/>
    <tableColumn id="23" xr3:uid="{4F2FB2AB-1E57-49E4-A36E-C2AE4F7ECC88}" name="Notes to Yourself" dataDxfId="113"/>
    <tableColumn id="26" xr3:uid="{15012E93-27CD-479E-B748-1A0B33E38540}" name="Total weights" dataDxfId="112">
      <calculatedColumnFormula>R9/SUM($R$9:$R$50)</calculatedColumnFormula>
    </tableColumn>
    <tableColumn id="28" xr3:uid="{F75F033E-D2A5-4A49-AC71-603D263F625D}" name="Subjectwise weights" dataDxfId="111">
      <calculatedColumnFormula>Master_Data[[#This Row],[Imp. Level]]/SUMIF(Master_Data[Subject],Master_Data[[#This Row],[Subject]],Master_Data[Imp. Level])</calculatedColumnFormula>
    </tableColumn>
    <tableColumn id="29" xr3:uid="{4DCF2CFD-3233-40BF-995C-319D9E96ABF7}" name="Subjectwise weighted average" dataDxfId="110">
      <calculatedColumnFormula>Master_Data[[#This Row],[Subjectwise weights]]*Master_Data[[#This Row],[Confidence Level]]</calculatedColumnFormula>
    </tableColumn>
    <tableColumn id="31" xr3:uid="{44791B14-8EA4-4997-9F55-0F060C364CAA}" name="Practice" dataDxfId="109">
      <calculatedColumnFormula>IF(AND(Master_Data[[#This Row],[Inst. EOC Ques.]]="D",Master_Data[[#This Row],[Prac. Book]]="D"),"D","U")</calculatedColumnFormula>
    </tableColumn>
    <tableColumn id="34" xr3:uid="{679C7012-AA95-4E12-BCFA-3A8F0884BA1B}" name="Extra Practice" dataDxfId="108">
      <calculatedColumnFormula>IF(AND(Master_Data[[#This Row],[Inst. Online Portal]]="D",Master_Data[[#This Row],[Schweser Prac. Bk 1]]="D",Master_Data[[#This Row],[Schweser Prac. Bk 2]]="D"),"D","U")</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77" dataDxfId="75" totalsRowDxfId="73" headerRowBorderDxfId="76" tableBorderDxfId="74" totalsRowBorderDxfId="72">
  <tableColumns count="7">
    <tableColumn id="1" xr3:uid="{AE11ECA3-766C-4A27-9D55-2BC88847F811}" name="YEAR" dataDxfId="71" totalsRowDxfId="70"/>
    <tableColumn id="8" xr3:uid="{F45BA15B-8BD1-46B5-B2D7-1C41230837B1}" name="Difference" dataDxfId="69" totalsRowDxfId="68" dataCellStyle="Percent" totalsRowCellStyle="Percent"/>
    <tableColumn id="3" xr3:uid="{8587D4BE-01D5-4334-AA9F-1CB7C9F49C45}" name="Cum. Diff" dataDxfId="67" totalsRowDxfId="66" dataCellStyle="Percent" totalsRowCellStyle="Percent">
      <calculatedColumnFormula>Table134[[#This Row],[Diff %]]</calculatedColumnFormula>
    </tableColumn>
    <tableColumn id="2" xr3:uid="{6BC40997-B42C-4560-B77E-739CF69E8116}" name="Diff %" totalsRowFunction="sum" dataDxfId="65" totalsRowDxfId="64" dataCellStyle="Percent" totalsRowCellStyle="Percent">
      <calculatedColumnFormula>Table134[[#This Row],[%]]</calculatedColumnFormula>
    </tableColumn>
    <tableColumn id="6" xr3:uid="{3F56D537-714F-43D6-9FD7-831C5EC8E06A}" name="%" dataDxfId="63" totalsRowDxfId="62">
      <calculatedColumnFormula>Table134[[#This Row],[Difference]]/$F$7</calculatedColumnFormula>
    </tableColumn>
    <tableColumn id="7" xr3:uid="{934479DB-DEF7-4CC9-ACF3-42FD51742DBC}" name="No. of days" dataDxfId="61" totalsRowDxfId="60">
      <calculatedColumnFormula>30%</calculatedColumnFormula>
    </tableColumn>
    <tableColumn id="10" xr3:uid="{51DA5D9E-8A89-4740-A73E-F978631A4936}" name="LABEL" dataDxfId="59" totalsRowDxfId="5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3"/>
  <sheetViews>
    <sheetView showGridLines="0" tabSelected="1" zoomScaleNormal="100" workbookViewId="0">
      <selection activeCell="F9" sqref="F9"/>
    </sheetView>
  </sheetViews>
  <sheetFormatPr defaultColWidth="8.7265625" defaultRowHeight="14" x14ac:dyDescent="0.3"/>
  <cols>
    <col min="1" max="1" width="3.7265625" style="38" customWidth="1"/>
    <col min="2" max="2" width="11.81640625" style="38" customWidth="1"/>
    <col min="3" max="3" width="16" style="38" customWidth="1"/>
    <col min="4" max="4" width="42.54296875" style="38" customWidth="1"/>
    <col min="5" max="5" width="34.453125" style="38" customWidth="1"/>
    <col min="6" max="6" width="39.54296875" style="38" customWidth="1"/>
    <col min="7" max="16384" width="8.7265625" style="38"/>
  </cols>
  <sheetData>
    <row r="1" spans="2:27" ht="6.75" customHeight="1" x14ac:dyDescent="0.3"/>
    <row r="2" spans="2:27" ht="30" customHeight="1" x14ac:dyDescent="0.3">
      <c r="B2" s="269" t="s">
        <v>168</v>
      </c>
      <c r="C2" s="269"/>
      <c r="D2" s="269"/>
      <c r="E2" s="269"/>
      <c r="F2" s="269"/>
      <c r="G2" s="55"/>
      <c r="H2" s="55"/>
      <c r="I2" s="55"/>
      <c r="J2" s="55"/>
      <c r="K2" s="55"/>
      <c r="L2" s="55"/>
      <c r="M2" s="55"/>
      <c r="N2" s="55"/>
      <c r="O2" s="55"/>
      <c r="P2" s="55"/>
      <c r="Q2" s="55"/>
      <c r="R2" s="55"/>
      <c r="S2" s="55"/>
      <c r="T2" s="55"/>
      <c r="U2" s="55"/>
      <c r="V2" s="55"/>
      <c r="W2" s="55"/>
      <c r="X2" s="55"/>
      <c r="Y2" s="55"/>
      <c r="Z2" s="55"/>
      <c r="AA2" s="55"/>
    </row>
    <row r="3" spans="2:27" ht="10" customHeight="1" x14ac:dyDescent="0.3"/>
    <row r="4" spans="2:27" s="26" customFormat="1" ht="21.75" customHeight="1" x14ac:dyDescent="0.35">
      <c r="D4" s="56"/>
      <c r="E4" s="272" t="s">
        <v>174</v>
      </c>
      <c r="F4" s="272"/>
      <c r="G4" s="56"/>
      <c r="H4" s="56"/>
      <c r="I4" s="56"/>
      <c r="J4" s="56"/>
      <c r="K4" s="57"/>
      <c r="L4" s="57"/>
      <c r="M4" s="57"/>
      <c r="N4" s="57"/>
      <c r="O4" s="57"/>
      <c r="P4" s="57"/>
      <c r="Q4" s="57"/>
      <c r="R4" s="57"/>
      <c r="S4" s="57"/>
    </row>
    <row r="5" spans="2:27" ht="8.25" customHeight="1" x14ac:dyDescent="0.3"/>
    <row r="6" spans="2:27" ht="18" x14ac:dyDescent="0.3">
      <c r="E6" s="67" t="s">
        <v>0</v>
      </c>
      <c r="F6" s="68" t="s">
        <v>173</v>
      </c>
      <c r="I6" s="134"/>
    </row>
    <row r="7" spans="2:27" ht="5.25" customHeight="1" x14ac:dyDescent="0.3">
      <c r="E7" s="58"/>
      <c r="F7" s="150"/>
    </row>
    <row r="8" spans="2:27" ht="19.5" customHeight="1" x14ac:dyDescent="0.3">
      <c r="E8" s="178" t="s">
        <v>2</v>
      </c>
      <c r="F8" s="179">
        <v>45301</v>
      </c>
    </row>
    <row r="9" spans="2:27" ht="19.5" customHeight="1" x14ac:dyDescent="0.3">
      <c r="E9" s="180" t="s">
        <v>1</v>
      </c>
      <c r="F9" s="181">
        <v>45615</v>
      </c>
    </row>
    <row r="11" spans="2:27" x14ac:dyDescent="0.3">
      <c r="B11" s="274"/>
      <c r="C11" s="274"/>
      <c r="D11" s="274"/>
    </row>
    <row r="12" spans="2:27" ht="6.65" customHeight="1" x14ac:dyDescent="0.3">
      <c r="B12" s="143"/>
      <c r="C12" s="143"/>
    </row>
    <row r="13" spans="2:27" s="144" customFormat="1" ht="25.5" x14ac:dyDescent="0.55000000000000004">
      <c r="B13" s="270" t="s">
        <v>37</v>
      </c>
      <c r="C13" s="270"/>
      <c r="D13" s="271"/>
      <c r="E13" s="271"/>
      <c r="F13" s="145" t="str">
        <f>'📝 Instructions'!E4&amp;" |Aswini Bajaj"</f>
        <v>CFA L-2 |Aswini Bajaj</v>
      </c>
    </row>
    <row r="14" spans="2:27" x14ac:dyDescent="0.3">
      <c r="C14" s="39"/>
    </row>
    <row r="15" spans="2:27" ht="42.65" customHeight="1" x14ac:dyDescent="0.6">
      <c r="B15" s="136"/>
      <c r="C15" s="136"/>
      <c r="D15" s="136"/>
      <c r="E15" s="136"/>
      <c r="F15" s="136"/>
    </row>
    <row r="16" spans="2:27" ht="44.5" customHeight="1" x14ac:dyDescent="0.6">
      <c r="B16" s="49"/>
      <c r="C16" s="49"/>
      <c r="D16" s="49"/>
      <c r="E16" s="49"/>
      <c r="F16" s="49"/>
    </row>
    <row r="17" spans="2:6" ht="25.5" x14ac:dyDescent="0.55000000000000004">
      <c r="B17" s="50"/>
      <c r="C17" s="51"/>
      <c r="D17" s="50"/>
      <c r="E17" s="50"/>
    </row>
    <row r="18" spans="2:6" ht="18.649999999999999" customHeight="1" x14ac:dyDescent="0.55000000000000004">
      <c r="B18" s="50"/>
      <c r="C18" s="51"/>
      <c r="D18" s="50"/>
      <c r="E18" s="50"/>
    </row>
    <row r="19" spans="2:6" ht="18" x14ac:dyDescent="0.3">
      <c r="B19" s="148" t="s">
        <v>35</v>
      </c>
      <c r="C19" s="148" t="s">
        <v>36</v>
      </c>
      <c r="D19" s="273" t="s">
        <v>37</v>
      </c>
      <c r="E19" s="273"/>
      <c r="F19" s="273"/>
    </row>
    <row r="20" spans="2:6" ht="59.15" customHeight="1" x14ac:dyDescent="0.3">
      <c r="B20" s="137">
        <v>1</v>
      </c>
      <c r="C20" s="138" t="s">
        <v>17</v>
      </c>
      <c r="D20" s="267" t="s">
        <v>170</v>
      </c>
      <c r="E20" s="267"/>
      <c r="F20" s="268"/>
    </row>
    <row r="21" spans="2:6" ht="42" customHeight="1" x14ac:dyDescent="0.3">
      <c r="B21" s="137">
        <v>2</v>
      </c>
      <c r="C21" s="138" t="str">
        <f>Master_Data[[#Headers],[Schedule]]</f>
        <v>Schedule</v>
      </c>
      <c r="D21" s="267" t="s">
        <v>172</v>
      </c>
      <c r="E21" s="267"/>
      <c r="F21" s="268"/>
    </row>
    <row r="22" spans="2:6" ht="42" customHeight="1" x14ac:dyDescent="0.3">
      <c r="B22" s="139">
        <v>3</v>
      </c>
      <c r="C22" s="140" t="s">
        <v>3</v>
      </c>
      <c r="D22" s="267" t="s">
        <v>41</v>
      </c>
      <c r="E22" s="267"/>
      <c r="F22" s="268"/>
    </row>
    <row r="23" spans="2:6" ht="25.5" customHeight="1" x14ac:dyDescent="0.3">
      <c r="B23" s="141">
        <v>4</v>
      </c>
      <c r="C23" s="142" t="s">
        <v>4</v>
      </c>
      <c r="D23" s="265" t="s">
        <v>77</v>
      </c>
      <c r="E23" s="265"/>
      <c r="F23" s="266"/>
    </row>
    <row r="24" spans="2:6" ht="42" customHeight="1" x14ac:dyDescent="0.3">
      <c r="B24" s="139">
        <v>5</v>
      </c>
      <c r="C24" s="140" t="s">
        <v>5</v>
      </c>
      <c r="D24" s="263" t="s">
        <v>90</v>
      </c>
      <c r="E24" s="263"/>
      <c r="F24" s="264"/>
    </row>
    <row r="25" spans="2:6" ht="42" customHeight="1" x14ac:dyDescent="0.3">
      <c r="B25" s="141">
        <v>6</v>
      </c>
      <c r="C25" s="142" t="s">
        <v>76</v>
      </c>
      <c r="D25" s="265" t="s">
        <v>96</v>
      </c>
      <c r="E25" s="265"/>
      <c r="F25" s="266"/>
    </row>
    <row r="26" spans="2:6" ht="29.15" customHeight="1" x14ac:dyDescent="0.3">
      <c r="B26" s="139">
        <v>7</v>
      </c>
      <c r="C26" s="140" t="s">
        <v>101</v>
      </c>
      <c r="D26" s="263" t="s">
        <v>97</v>
      </c>
      <c r="E26" s="263"/>
      <c r="F26" s="264"/>
    </row>
    <row r="27" spans="2:6" ht="42" customHeight="1" x14ac:dyDescent="0.3">
      <c r="B27" s="141">
        <v>8</v>
      </c>
      <c r="C27" s="142" t="s">
        <v>165</v>
      </c>
      <c r="D27" s="265" t="s">
        <v>100</v>
      </c>
      <c r="E27" s="265"/>
      <c r="F27" s="266"/>
    </row>
    <row r="28" spans="2:6" ht="42" customHeight="1" x14ac:dyDescent="0.3">
      <c r="B28" s="139">
        <v>9</v>
      </c>
      <c r="C28" s="140" t="s">
        <v>73</v>
      </c>
      <c r="D28" s="263" t="s">
        <v>89</v>
      </c>
      <c r="E28" s="263"/>
      <c r="F28" s="264"/>
    </row>
    <row r="29" spans="2:6" ht="84" customHeight="1" x14ac:dyDescent="0.3">
      <c r="B29" s="141">
        <v>10</v>
      </c>
      <c r="C29" s="142" t="s">
        <v>74</v>
      </c>
      <c r="D29" s="265" t="s">
        <v>91</v>
      </c>
      <c r="E29" s="265"/>
      <c r="F29" s="266"/>
    </row>
    <row r="30" spans="2:6" ht="75.650000000000006" customHeight="1" x14ac:dyDescent="0.3">
      <c r="B30" s="139">
        <v>11</v>
      </c>
      <c r="C30" s="140" t="s">
        <v>166</v>
      </c>
      <c r="D30" s="263" t="s">
        <v>88</v>
      </c>
      <c r="E30" s="263"/>
      <c r="F30" s="264"/>
    </row>
    <row r="31" spans="2:6" ht="143.15" customHeight="1" x14ac:dyDescent="0.3">
      <c r="B31" s="141">
        <v>12</v>
      </c>
      <c r="C31" s="142" t="s">
        <v>75</v>
      </c>
      <c r="D31" s="265" t="s">
        <v>163</v>
      </c>
      <c r="E31" s="265"/>
      <c r="F31" s="266"/>
    </row>
    <row r="32" spans="2:6" ht="73" customHeight="1" x14ac:dyDescent="0.3">
      <c r="B32" s="139">
        <v>13</v>
      </c>
      <c r="C32" s="140" t="s">
        <v>38</v>
      </c>
      <c r="D32" s="263" t="s">
        <v>209</v>
      </c>
      <c r="E32" s="263"/>
      <c r="F32" s="264"/>
    </row>
    <row r="33" spans="2:6" ht="42" customHeight="1" x14ac:dyDescent="0.3">
      <c r="B33" s="141">
        <v>14</v>
      </c>
      <c r="C33" s="142" t="s">
        <v>34</v>
      </c>
      <c r="D33" s="265" t="s">
        <v>92</v>
      </c>
      <c r="E33" s="265"/>
      <c r="F33" s="266"/>
    </row>
    <row r="34" spans="2:6" ht="58.5" customHeight="1" x14ac:dyDescent="0.3">
      <c r="B34" s="139">
        <v>15</v>
      </c>
      <c r="C34" s="140" t="s">
        <v>28</v>
      </c>
      <c r="D34" s="263" t="s">
        <v>93</v>
      </c>
      <c r="E34" s="263"/>
      <c r="F34" s="264"/>
    </row>
    <row r="35" spans="2:6" ht="56.5" customHeight="1" x14ac:dyDescent="0.3">
      <c r="B35" s="141">
        <v>16</v>
      </c>
      <c r="C35" s="142" t="s">
        <v>29</v>
      </c>
      <c r="D35" s="265" t="s">
        <v>42</v>
      </c>
      <c r="E35" s="265"/>
      <c r="F35" s="266"/>
    </row>
    <row r="36" spans="2:6" ht="64.75" customHeight="1" x14ac:dyDescent="0.3">
      <c r="B36" s="139">
        <v>17</v>
      </c>
      <c r="C36" s="140" t="s">
        <v>30</v>
      </c>
      <c r="D36" s="263" t="s">
        <v>210</v>
      </c>
      <c r="E36" s="263"/>
      <c r="F36" s="264"/>
    </row>
    <row r="37" spans="2:6" ht="54" customHeight="1" x14ac:dyDescent="0.3">
      <c r="B37" s="141">
        <v>18</v>
      </c>
      <c r="C37" s="142" t="s">
        <v>33</v>
      </c>
      <c r="D37" s="265" t="s">
        <v>176</v>
      </c>
      <c r="E37" s="265"/>
      <c r="F37" s="266"/>
    </row>
    <row r="38" spans="2:6" ht="42" customHeight="1" x14ac:dyDescent="0.3">
      <c r="B38" s="139">
        <v>19</v>
      </c>
      <c r="C38" s="140" t="s">
        <v>31</v>
      </c>
      <c r="D38" s="263" t="s">
        <v>43</v>
      </c>
      <c r="E38" s="263"/>
      <c r="F38" s="264"/>
    </row>
    <row r="39" spans="2:6" ht="42" customHeight="1" x14ac:dyDescent="0.3">
      <c r="B39" s="141">
        <v>20</v>
      </c>
      <c r="C39" s="140" t="s">
        <v>32</v>
      </c>
      <c r="D39" s="263" t="s">
        <v>94</v>
      </c>
      <c r="E39" s="263"/>
      <c r="F39" s="264"/>
    </row>
    <row r="40" spans="2:6" ht="85.5" customHeight="1" x14ac:dyDescent="0.3">
      <c r="B40" s="139">
        <v>21</v>
      </c>
      <c r="C40" s="142" t="s">
        <v>63</v>
      </c>
      <c r="D40" s="265" t="s">
        <v>175</v>
      </c>
      <c r="E40" s="265"/>
      <c r="F40" s="266"/>
    </row>
    <row r="41" spans="2:6" ht="79.5" customHeight="1" x14ac:dyDescent="0.3">
      <c r="B41" s="141">
        <v>22</v>
      </c>
      <c r="C41" s="140" t="s">
        <v>64</v>
      </c>
      <c r="D41" s="263" t="s">
        <v>175</v>
      </c>
      <c r="E41" s="263"/>
      <c r="F41" s="264"/>
    </row>
    <row r="42" spans="2:6" ht="42" customHeight="1" x14ac:dyDescent="0.3">
      <c r="B42" s="139">
        <v>23</v>
      </c>
      <c r="C42" s="142" t="s">
        <v>117</v>
      </c>
      <c r="D42" s="265" t="s">
        <v>164</v>
      </c>
      <c r="E42" s="265"/>
      <c r="F42" s="266"/>
    </row>
    <row r="43" spans="2:6" ht="48.65" customHeight="1" x14ac:dyDescent="0.3">
      <c r="B43" s="139">
        <v>24</v>
      </c>
      <c r="C43" s="140" t="s">
        <v>98</v>
      </c>
      <c r="D43" s="263" t="s">
        <v>167</v>
      </c>
      <c r="E43" s="263"/>
      <c r="F43" s="264"/>
    </row>
  </sheetData>
  <sheetProtection algorithmName="SHA-512" hashValue="BsdtvulLObtgHeowsiClvbtfjXuHDGu3BDG6oQa3VGowHUwwsM86cJaF37cx+IZvZpDlqrv4o8i32biB7xBZ2w==" saltValue="NHW32weVyEU4YprCTQerlw==" spinCount="100000" sheet="1" selectLockedCells="1"/>
  <mergeCells count="30">
    <mergeCell ref="B2:F2"/>
    <mergeCell ref="B13:C13"/>
    <mergeCell ref="D21:F21"/>
    <mergeCell ref="D13:E13"/>
    <mergeCell ref="E4:F4"/>
    <mergeCell ref="D20:F20"/>
    <mergeCell ref="D19:F19"/>
    <mergeCell ref="B11:D11"/>
    <mergeCell ref="D37:F37"/>
    <mergeCell ref="D38:F38"/>
    <mergeCell ref="D39:F39"/>
    <mergeCell ref="D42:F42"/>
    <mergeCell ref="D22:F22"/>
    <mergeCell ref="D23:F23"/>
    <mergeCell ref="D43:F43"/>
    <mergeCell ref="D24:F24"/>
    <mergeCell ref="D32:F32"/>
    <mergeCell ref="D33:F33"/>
    <mergeCell ref="D34:F34"/>
    <mergeCell ref="D35:F35"/>
    <mergeCell ref="D30:F30"/>
    <mergeCell ref="D31:F31"/>
    <mergeCell ref="D29:F29"/>
    <mergeCell ref="D28:F28"/>
    <mergeCell ref="D27:F27"/>
    <mergeCell ref="D25:F25"/>
    <mergeCell ref="D26:F26"/>
    <mergeCell ref="D40:F40"/>
    <mergeCell ref="D41:F41"/>
    <mergeCell ref="D36:F36"/>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S50"/>
  <sheetViews>
    <sheetView showGridLines="0" zoomScale="70" zoomScaleNormal="70" workbookViewId="0">
      <selection activeCell="V14" sqref="V14"/>
    </sheetView>
  </sheetViews>
  <sheetFormatPr defaultColWidth="8.81640625" defaultRowHeight="14" x14ac:dyDescent="0.3"/>
  <cols>
    <col min="1" max="1" width="0.54296875" style="38" customWidth="1"/>
    <col min="2" max="2" width="6.453125" style="38" customWidth="1"/>
    <col min="3" max="3" width="9.54296875" style="39" customWidth="1"/>
    <col min="4" max="4" width="10.81640625" style="38" hidden="1" customWidth="1"/>
    <col min="5" max="6" width="8" style="38" hidden="1" customWidth="1"/>
    <col min="7" max="7" width="9.26953125" style="38" hidden="1" customWidth="1"/>
    <col min="8" max="8" width="10.1796875" style="39" customWidth="1"/>
    <col min="9" max="9" width="8.81640625" style="38" customWidth="1"/>
    <col min="10" max="10" width="8.81640625" style="38" hidden="1" customWidth="1"/>
    <col min="11" max="11" width="32.453125" style="39" customWidth="1"/>
    <col min="12" max="12" width="19.36328125" style="39" hidden="1" customWidth="1"/>
    <col min="13" max="13" width="6.1796875" style="59" customWidth="1"/>
    <col min="14" max="19" width="8.7265625" style="59" customWidth="1"/>
    <col min="20" max="20" width="9.81640625" style="38" customWidth="1"/>
    <col min="21" max="21" width="8.1796875" style="38" bestFit="1" customWidth="1"/>
    <col min="22" max="22" width="8.7265625" style="38" customWidth="1"/>
    <col min="23" max="23" width="6.81640625" style="38" bestFit="1" customWidth="1"/>
    <col min="24" max="24" width="6.81640625" style="38" customWidth="1"/>
    <col min="25" max="25" width="6.453125" style="38" customWidth="1"/>
    <col min="26" max="26" width="8.54296875" style="38" customWidth="1"/>
    <col min="27" max="27" width="7.54296875" style="38" customWidth="1"/>
    <col min="28" max="29" width="10.26953125" style="38" customWidth="1"/>
    <col min="30" max="30" width="7.7265625" style="38" customWidth="1"/>
    <col min="31" max="31" width="40" style="38" customWidth="1"/>
    <col min="32" max="33" width="8.81640625" style="38" hidden="1" customWidth="1"/>
    <col min="34" max="34" width="11.453125" style="38" hidden="1" customWidth="1"/>
    <col min="35" max="36" width="8.81640625" style="38" hidden="1" customWidth="1"/>
    <col min="37" max="16384" width="8.81640625" style="38"/>
  </cols>
  <sheetData>
    <row r="2" spans="1:36" ht="30" customHeight="1" x14ac:dyDescent="0.55000000000000004">
      <c r="A2" s="61"/>
      <c r="B2" s="73" t="s">
        <v>53</v>
      </c>
      <c r="C2" s="172"/>
      <c r="D2" s="69"/>
      <c r="E2" s="69"/>
      <c r="F2" s="69"/>
      <c r="G2" s="69"/>
      <c r="H2" s="69"/>
      <c r="I2" s="70"/>
      <c r="J2" s="70"/>
      <c r="K2" s="70"/>
      <c r="L2" s="70"/>
      <c r="M2" s="70"/>
      <c r="N2" s="70"/>
      <c r="O2" s="70"/>
      <c r="P2" s="70"/>
      <c r="Q2" s="70"/>
      <c r="R2" s="70"/>
      <c r="S2" s="70"/>
      <c r="T2" s="70"/>
      <c r="U2" s="70"/>
      <c r="V2" s="70"/>
      <c r="W2" s="70"/>
      <c r="X2" s="70"/>
      <c r="Y2" s="70"/>
      <c r="Z2" s="70"/>
      <c r="AA2" s="70"/>
      <c r="AB2" s="71"/>
      <c r="AC2" s="71"/>
      <c r="AD2" s="71" t="str">
        <f>'📝 Instructions'!E4&amp;" |Aswini Bajaj"</f>
        <v>CFA L-2 |Aswini Bajaj</v>
      </c>
    </row>
    <row r="3" spans="1:36" ht="11.25" customHeight="1" x14ac:dyDescent="0.3">
      <c r="B3" s="60"/>
      <c r="C3" s="173"/>
      <c r="D3" s="60"/>
      <c r="E3" s="60"/>
      <c r="F3" s="60"/>
      <c r="G3" s="60"/>
      <c r="H3" s="60"/>
      <c r="I3" s="60"/>
      <c r="J3" s="60"/>
    </row>
    <row r="4" spans="1:36" ht="20.149999999999999" customHeight="1" x14ac:dyDescent="0.3">
      <c r="B4" s="275" t="s">
        <v>113</v>
      </c>
      <c r="C4" s="275"/>
      <c r="D4" s="275"/>
      <c r="E4" s="275"/>
      <c r="F4" s="275"/>
      <c r="G4" s="275"/>
      <c r="H4" s="275"/>
      <c r="I4" s="275"/>
      <c r="J4" s="275"/>
      <c r="K4" s="275"/>
      <c r="L4" s="275"/>
      <c r="M4" s="275"/>
      <c r="N4" s="275"/>
      <c r="O4" s="275"/>
      <c r="P4" s="275"/>
      <c r="Q4" s="275"/>
      <c r="R4" s="276" t="s">
        <v>7</v>
      </c>
      <c r="S4" s="277"/>
      <c r="T4" s="43">
        <f>SUM(Master_Data[Duration (hh:mm)])</f>
        <v>8.0055555555555564</v>
      </c>
      <c r="U4" s="44">
        <v>1</v>
      </c>
      <c r="V4" s="45">
        <f>SUM(Master_Data[No. of chapters])</f>
        <v>43</v>
      </c>
      <c r="W4" s="45">
        <f>SUM(Master_Data[No. of chapters])</f>
        <v>43</v>
      </c>
      <c r="X4" s="45">
        <f>SUM(Master_Data[No. of chapters])</f>
        <v>43</v>
      </c>
      <c r="Y4" s="45">
        <f>SUM(Master_Data[No. of chapters])</f>
        <v>43</v>
      </c>
      <c r="Z4" s="45">
        <f>SUM(Master_Data[No. of chapters])</f>
        <v>43</v>
      </c>
      <c r="AA4" s="45">
        <f>SUM(Master_Data[No. of chapters])</f>
        <v>43</v>
      </c>
      <c r="AB4" s="45">
        <f>SUM(Master_Data[No. of chapters])</f>
        <v>43</v>
      </c>
      <c r="AC4" s="45">
        <f>SUM(Master_Data[No. of chapters])</f>
        <v>43</v>
      </c>
      <c r="AD4" s="45">
        <v>5</v>
      </c>
      <c r="AF4" s="66"/>
    </row>
    <row r="5" spans="1:36" ht="20.149999999999999" customHeight="1" x14ac:dyDescent="0.3">
      <c r="B5" s="275"/>
      <c r="C5" s="275"/>
      <c r="D5" s="275"/>
      <c r="E5" s="275"/>
      <c r="F5" s="275"/>
      <c r="G5" s="275"/>
      <c r="H5" s="275"/>
      <c r="I5" s="275"/>
      <c r="J5" s="275"/>
      <c r="K5" s="275"/>
      <c r="L5" s="275"/>
      <c r="M5" s="275"/>
      <c r="N5" s="275"/>
      <c r="O5" s="275"/>
      <c r="P5" s="275"/>
      <c r="Q5" s="275"/>
      <c r="R5" s="276" t="s">
        <v>40</v>
      </c>
      <c r="S5" s="277"/>
      <c r="T5" s="43">
        <f>SUMIF(Master_Data[Lectures],"d",Master_Data[Duration (hh:mm)])</f>
        <v>0</v>
      </c>
      <c r="U5" s="44">
        <f>T5/T4</f>
        <v>0</v>
      </c>
      <c r="V5" s="46">
        <f>SUMIFS(Master_Data[No. of chapters],Master_Data[Lectures],"d")</f>
        <v>0</v>
      </c>
      <c r="W5" s="46">
        <f>SUMIFS(Master_Data[No. of chapters],Master_Data[Self Study],"d")</f>
        <v>0</v>
      </c>
      <c r="X5" s="46">
        <f>SUMIFS(Master_Data[No. of chapters],Master_Data[Inst. EOC Ques.],"d")</f>
        <v>0</v>
      </c>
      <c r="Y5" s="46">
        <f>SUMIFS(Master_Data[No. of chapters],Master_Data[Prac. Book],"d")</f>
        <v>0</v>
      </c>
      <c r="Z5" s="46">
        <f>SUMIFS(Master_Data[No. of chapters],Master_Data[Revision],"d")</f>
        <v>0</v>
      </c>
      <c r="AA5" s="46">
        <f>SUMIFS(Master_Data[No. of chapters],Master_Data[Inst. Online Portal],"d")</f>
        <v>0</v>
      </c>
      <c r="AB5" s="46">
        <f>SUMIFS(Master_Data[No. of chapters],Master_Data[Schweser Prac. Bk 1],"d")</f>
        <v>0</v>
      </c>
      <c r="AC5" s="46">
        <f>SUMIFS(Master_Data[No. of chapters],Master_Data[Schweser Prac. Bk 2],"d")</f>
        <v>0</v>
      </c>
      <c r="AD5" s="46">
        <f>SUMPRODUCT(Master_Data[Confidence Level],Master_Data[Total weights])</f>
        <v>2.3187500000000001</v>
      </c>
      <c r="AF5" s="66"/>
    </row>
    <row r="6" spans="1:36" ht="20.149999999999999" customHeight="1" x14ac:dyDescent="0.3">
      <c r="B6" s="62"/>
      <c r="C6" s="174"/>
      <c r="D6" s="62"/>
      <c r="E6" s="62"/>
      <c r="F6" s="62"/>
      <c r="G6" s="62"/>
      <c r="H6" s="62"/>
      <c r="I6" s="62"/>
      <c r="J6" s="60"/>
      <c r="K6" s="63" t="s">
        <v>99</v>
      </c>
      <c r="L6" s="63"/>
      <c r="M6" s="64">
        <f>AVERAGE(Master_Data[No. of LOS])</f>
        <v>9.3333333333333339</v>
      </c>
      <c r="N6" s="64">
        <f>AVERAGE(Master_Data[Lengthy])</f>
        <v>3.1666666666666665</v>
      </c>
      <c r="O6" s="64">
        <f>AVERAGE(Master_Data[Numerical or Not])</f>
        <v>2.9047619047619047</v>
      </c>
      <c r="P6" s="64">
        <f>AVERAGE(Master_Data[Diff. Level])</f>
        <v>3.6190476190476191</v>
      </c>
      <c r="Q6" s="64">
        <f>AVERAGE(Master_Data[Confusing])</f>
        <v>4.0238095238095237</v>
      </c>
      <c r="R6" s="64">
        <f>AVERAGE(Master_Data[Imp. Level])</f>
        <v>3.8095238095238093</v>
      </c>
      <c r="S6" s="64">
        <f>AVERAGE(Master_Data[Reqd. Prac.])</f>
        <v>4.2619047619047619</v>
      </c>
      <c r="T6" s="65">
        <f>AVERAGE(Master_Data[Duration (hh:mm)])</f>
        <v>0.19060846560846562</v>
      </c>
      <c r="W6" s="52"/>
    </row>
    <row r="7" spans="1:36" ht="20.149999999999999" customHeight="1" x14ac:dyDescent="0.3">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0">
        <v>23</v>
      </c>
      <c r="AE7" s="10">
        <v>24</v>
      </c>
      <c r="AF7" s="1"/>
      <c r="AG7" s="1"/>
      <c r="AH7" s="1"/>
    </row>
    <row r="8" spans="1:36" s="26" customFormat="1" ht="46.5" x14ac:dyDescent="0.35">
      <c r="B8" s="72" t="s">
        <v>17</v>
      </c>
      <c r="C8" s="72" t="s">
        <v>148</v>
      </c>
      <c r="D8" s="72" t="s">
        <v>137</v>
      </c>
      <c r="E8" s="72" t="s">
        <v>135</v>
      </c>
      <c r="F8" s="72" t="s">
        <v>228</v>
      </c>
      <c r="G8" s="72" t="s">
        <v>229</v>
      </c>
      <c r="H8" s="72" t="s">
        <v>3</v>
      </c>
      <c r="I8" s="72" t="s">
        <v>4</v>
      </c>
      <c r="J8" s="8" t="s">
        <v>114</v>
      </c>
      <c r="K8" s="8" t="s">
        <v>5</v>
      </c>
      <c r="L8" s="8" t="s">
        <v>225</v>
      </c>
      <c r="M8" s="8" t="s">
        <v>76</v>
      </c>
      <c r="N8" s="8" t="s">
        <v>101</v>
      </c>
      <c r="O8" s="8" t="s">
        <v>102</v>
      </c>
      <c r="P8" s="8" t="s">
        <v>103</v>
      </c>
      <c r="Q8" s="8" t="s">
        <v>74</v>
      </c>
      <c r="R8" s="8" t="s">
        <v>104</v>
      </c>
      <c r="S8" s="8" t="s">
        <v>105</v>
      </c>
      <c r="T8" s="8" t="s">
        <v>38</v>
      </c>
      <c r="U8" s="8" t="s">
        <v>106</v>
      </c>
      <c r="V8" s="8" t="s">
        <v>28</v>
      </c>
      <c r="W8" s="8" t="s">
        <v>29</v>
      </c>
      <c r="X8" s="8" t="s">
        <v>109</v>
      </c>
      <c r="Y8" s="8" t="s">
        <v>107</v>
      </c>
      <c r="Z8" s="8" t="s">
        <v>31</v>
      </c>
      <c r="AA8" s="8" t="s">
        <v>108</v>
      </c>
      <c r="AB8" s="8" t="s">
        <v>110</v>
      </c>
      <c r="AC8" s="8" t="s">
        <v>111</v>
      </c>
      <c r="AD8" s="8" t="s">
        <v>117</v>
      </c>
      <c r="AE8" s="8" t="s">
        <v>98</v>
      </c>
      <c r="AF8" s="8" t="s">
        <v>120</v>
      </c>
      <c r="AG8" s="8" t="s">
        <v>121</v>
      </c>
      <c r="AH8" s="8" t="s">
        <v>122</v>
      </c>
      <c r="AI8" s="8" t="s">
        <v>24</v>
      </c>
      <c r="AJ8" s="8" t="s">
        <v>118</v>
      </c>
    </row>
    <row r="9" spans="1:36" ht="29.25" customHeight="1" x14ac:dyDescent="0.3">
      <c r="B9" s="3">
        <v>1</v>
      </c>
      <c r="C9" s="175" t="str">
        <f ca="1">IF(Master_Data[[#This Row],[Column1]]="Done","",IF(Master_Data[[#This Row],[Column1]]=MIN(Master_Data[Column1]),"Current Week",CONCATENATE("Week ",Master_Data[[#This Row],[Column1]])))</f>
        <v>Current Week</v>
      </c>
      <c r="D9" s="3">
        <f ca="1">IF(Master_Data[[#This Row],[Cum. Undone hrs]]=0,"Done",ROUNDUP(Master_Data[[#This Row],[Cum. Undone hrs]]/Working!$C$8,0))</f>
        <v>1</v>
      </c>
      <c r="E9" s="3" t="e">
        <f ca="1">IF(OR(D9=D8,D9=D8+1),Master_Data[[#This Row],[Column1]],D9-1)</f>
        <v>#VALUE!</v>
      </c>
      <c r="F9" s="15">
        <f>SUM($G$9:G9)</f>
        <v>0.17986111111111111</v>
      </c>
      <c r="G9" s="24">
        <f>IF(Master_Data[[#This Row],[Lectures]]="D","",Master_Data[[#This Row],[Duration (hh:mm)]])</f>
        <v>0.17986111111111111</v>
      </c>
      <c r="H9" s="2" t="s">
        <v>224</v>
      </c>
      <c r="I9" s="2">
        <v>32</v>
      </c>
      <c r="J9" s="2" t="s">
        <v>115</v>
      </c>
      <c r="K9" s="42" t="s">
        <v>177</v>
      </c>
      <c r="L9" s="262">
        <v>1</v>
      </c>
      <c r="M9" s="16">
        <v>10</v>
      </c>
      <c r="N9" s="41">
        <v>3</v>
      </c>
      <c r="O9" s="41">
        <v>2</v>
      </c>
      <c r="P9" s="41">
        <v>4</v>
      </c>
      <c r="Q9" s="41">
        <v>4</v>
      </c>
      <c r="R9" s="41">
        <v>4</v>
      </c>
      <c r="S9" s="41">
        <v>4</v>
      </c>
      <c r="T9" s="13">
        <v>0.17986111111111111</v>
      </c>
      <c r="U9" s="40">
        <f>(SUM($T$9:T9)/$T$4)*100</f>
        <v>2.2467036780013876</v>
      </c>
      <c r="V9" s="25" t="s">
        <v>6</v>
      </c>
      <c r="W9" s="25" t="s">
        <v>6</v>
      </c>
      <c r="X9" s="25" t="s">
        <v>6</v>
      </c>
      <c r="Y9" s="25" t="s">
        <v>6</v>
      </c>
      <c r="Z9" s="25" t="s">
        <v>6</v>
      </c>
      <c r="AA9" s="25" t="s">
        <v>6</v>
      </c>
      <c r="AB9" s="25" t="s">
        <v>6</v>
      </c>
      <c r="AC9" s="25" t="s">
        <v>6</v>
      </c>
      <c r="AD9" s="153">
        <v>2</v>
      </c>
      <c r="AE9" s="18"/>
      <c r="AF9" s="168">
        <f t="shared" ref="AF9:AF50" si="0">R9/SUM($R$9:$R$50)</f>
        <v>2.5000000000000001E-2</v>
      </c>
      <c r="AG9" s="169">
        <f>Master_Data[[#This Row],[Imp. Level]]/SUMIF(Master_Data[Subject],Master_Data[[#This Row],[Subject]],Master_Data[Imp. Level])</f>
        <v>0.36363636363636365</v>
      </c>
      <c r="AH9" s="151">
        <f>Master_Data[[#This Row],[Subjectwise weights]]*Master_Data[[#This Row],[Confidence Level]]</f>
        <v>0.72727272727272729</v>
      </c>
      <c r="AI9" s="152" t="str">
        <f>IF(AND(Master_Data[[#This Row],[Inst. EOC Ques.]]="D",Master_Data[[#This Row],[Prac. Book]]="D"),"D","U")</f>
        <v>U</v>
      </c>
      <c r="AJ9" s="152" t="str">
        <f>IF(AND(Master_Data[[#This Row],[Inst. Online Portal]]="D",Master_Data[[#This Row],[Schweser Prac. Bk 1]]="D",Master_Data[[#This Row],[Schweser Prac. Bk 2]]="D"),"D","U")</f>
        <v>U</v>
      </c>
    </row>
    <row r="10" spans="1:36" ht="29.25" customHeight="1" x14ac:dyDescent="0.3">
      <c r="B10" s="3">
        <v>2</v>
      </c>
      <c r="C10" s="175" t="str">
        <f ca="1">IF(Master_Data[[#This Row],[Column1]]="Done","",IF(Master_Data[[#This Row],[Column1]]=MIN(Master_Data[Column1]),"Current Week",CONCATENATE("Week ",Master_Data[[#This Row],[Column1]])))</f>
        <v>Week 2</v>
      </c>
      <c r="D10" s="3">
        <f ca="1">IF(Master_Data[[#This Row],[Cum. Undone hrs]]=0,"Done",ROUNDUP(Master_Data[[#This Row],[Cum. Undone hrs]]/Working!$C$8,0))</f>
        <v>2</v>
      </c>
      <c r="E10" s="3">
        <f ca="1">IF(OR(D10=D9,D10=D9+1),Master_Data[[#This Row],[Column1]],D10-1)</f>
        <v>2</v>
      </c>
      <c r="F10" s="15">
        <f>SUM($G$9:G10)</f>
        <v>0.4243055555555556</v>
      </c>
      <c r="G10" s="24">
        <f>IF(Master_Data[[#This Row],[Lectures]]="D","",Master_Data[[#This Row],[Duration (hh:mm)]])</f>
        <v>0.24444444444444446</v>
      </c>
      <c r="H10" s="2" t="s">
        <v>224</v>
      </c>
      <c r="I10" s="2">
        <v>33</v>
      </c>
      <c r="J10" s="2" t="s">
        <v>114</v>
      </c>
      <c r="K10" s="42" t="s">
        <v>178</v>
      </c>
      <c r="L10" s="262">
        <v>1</v>
      </c>
      <c r="M10" s="16">
        <v>10</v>
      </c>
      <c r="N10" s="41">
        <v>3</v>
      </c>
      <c r="O10" s="41">
        <v>2</v>
      </c>
      <c r="P10" s="41">
        <v>2</v>
      </c>
      <c r="Q10" s="41">
        <v>3</v>
      </c>
      <c r="R10" s="41">
        <v>3</v>
      </c>
      <c r="S10" s="41">
        <v>3</v>
      </c>
      <c r="T10" s="12">
        <v>0.24444444444444446</v>
      </c>
      <c r="U10" s="40">
        <f>(SUM($T$9:T10)/$T$4)*100</f>
        <v>5.300138792505205</v>
      </c>
      <c r="V10" s="25" t="s">
        <v>6</v>
      </c>
      <c r="W10" s="25" t="s">
        <v>6</v>
      </c>
      <c r="X10" s="25" t="s">
        <v>6</v>
      </c>
      <c r="Y10" s="25" t="s">
        <v>6</v>
      </c>
      <c r="Z10" s="25" t="s">
        <v>6</v>
      </c>
      <c r="AA10" s="25" t="s">
        <v>6</v>
      </c>
      <c r="AB10" s="25" t="s">
        <v>6</v>
      </c>
      <c r="AC10" s="25" t="s">
        <v>6</v>
      </c>
      <c r="AD10" s="153">
        <v>2</v>
      </c>
      <c r="AE10" s="17"/>
      <c r="AF10" s="168">
        <f t="shared" si="0"/>
        <v>1.8749999999999999E-2</v>
      </c>
      <c r="AG10" s="169">
        <f>Master_Data[[#This Row],[Imp. Level]]/SUMIF(Master_Data[Subject],Master_Data[[#This Row],[Subject]],Master_Data[Imp. Level])</f>
        <v>0.27272727272727271</v>
      </c>
      <c r="AH10" s="151">
        <f>Master_Data[[#This Row],[Subjectwise weights]]*Master_Data[[#This Row],[Confidence Level]]</f>
        <v>0.54545454545454541</v>
      </c>
      <c r="AI10" s="152" t="str">
        <f>IF(AND(Master_Data[[#This Row],[Inst. EOC Ques.]]="D",Master_Data[[#This Row],[Prac. Book]]="D"),"D","U")</f>
        <v>U</v>
      </c>
      <c r="AJ10" s="149" t="str">
        <f>IF(AND(Master_Data[[#This Row],[Inst. Online Portal]]="D",Master_Data[[#This Row],[Schweser Prac. Bk 1]]="D",Master_Data[[#This Row],[Schweser Prac. Bk 2]]="D"),"D","U")</f>
        <v>U</v>
      </c>
    </row>
    <row r="11" spans="1:36" ht="29.25" customHeight="1" x14ac:dyDescent="0.3">
      <c r="B11" s="3">
        <v>3</v>
      </c>
      <c r="C11" s="175" t="str">
        <f ca="1">IF(Master_Data[[#This Row],[Column1]]="Done","",IF(Master_Data[[#This Row],[Column1]]=MIN(Master_Data[Column1]),"Current Week",CONCATENATE("Week ",Master_Data[[#This Row],[Column1]])))</f>
        <v>Week 3</v>
      </c>
      <c r="D11" s="3">
        <f ca="1">IF(Master_Data[[#This Row],[Cum. Undone hrs]]=0,"Done",ROUNDUP(Master_Data[[#This Row],[Cum. Undone hrs]]/Working!$C$8,0))</f>
        <v>3</v>
      </c>
      <c r="E11" s="3">
        <f ca="1">IF(OR(D11=D10,D11=D10+1),Master_Data[[#This Row],[Column1]],D11-1)</f>
        <v>3</v>
      </c>
      <c r="F11" s="15">
        <f>SUM($G$9:G11)</f>
        <v>0.69722222222222219</v>
      </c>
      <c r="G11" s="24">
        <f>IF(Master_Data[[#This Row],[Lectures]]="D","",Master_Data[[#This Row],[Duration (hh:mm)]])</f>
        <v>0.27291666666666664</v>
      </c>
      <c r="H11" s="2" t="s">
        <v>224</v>
      </c>
      <c r="I11" s="2">
        <v>34</v>
      </c>
      <c r="J11" s="2" t="s">
        <v>116</v>
      </c>
      <c r="K11" s="42" t="s">
        <v>211</v>
      </c>
      <c r="L11" s="262">
        <v>1</v>
      </c>
      <c r="M11" s="16">
        <v>9</v>
      </c>
      <c r="N11" s="41">
        <v>4</v>
      </c>
      <c r="O11" s="41">
        <v>1</v>
      </c>
      <c r="P11" s="41">
        <v>3</v>
      </c>
      <c r="Q11" s="41">
        <v>4</v>
      </c>
      <c r="R11" s="41">
        <v>4</v>
      </c>
      <c r="S11" s="41">
        <v>5</v>
      </c>
      <c r="T11" s="13">
        <v>0.27291666666666664</v>
      </c>
      <c r="U11" s="40">
        <f>(SUM($T$9:T11)/$T$4)*100</f>
        <v>8.7092297015961115</v>
      </c>
      <c r="V11" s="25" t="s">
        <v>6</v>
      </c>
      <c r="W11" s="25" t="s">
        <v>6</v>
      </c>
      <c r="X11" s="25" t="s">
        <v>6</v>
      </c>
      <c r="Y11" s="25" t="s">
        <v>6</v>
      </c>
      <c r="Z11" s="25" t="s">
        <v>6</v>
      </c>
      <c r="AA11" s="25" t="s">
        <v>6</v>
      </c>
      <c r="AB11" s="25" t="s">
        <v>6</v>
      </c>
      <c r="AC11" s="25" t="s">
        <v>6</v>
      </c>
      <c r="AD11" s="153">
        <v>2</v>
      </c>
      <c r="AE11" s="17"/>
      <c r="AF11" s="168">
        <f t="shared" si="0"/>
        <v>2.5000000000000001E-2</v>
      </c>
      <c r="AG11" s="169">
        <f>Master_Data[[#This Row],[Imp. Level]]/SUMIF(Master_Data[Subject],Master_Data[[#This Row],[Subject]],Master_Data[Imp. Level])</f>
        <v>0.36363636363636365</v>
      </c>
      <c r="AH11" s="151">
        <f>Master_Data[[#This Row],[Subjectwise weights]]*Master_Data[[#This Row],[Confidence Level]]</f>
        <v>0.72727272727272729</v>
      </c>
      <c r="AI11" s="152" t="str">
        <f>IF(AND(Master_Data[[#This Row],[Inst. EOC Ques.]]="D",Master_Data[[#This Row],[Prac. Book]]="D"),"D","U")</f>
        <v>U</v>
      </c>
      <c r="AJ11" s="149" t="str">
        <f>IF(AND(Master_Data[[#This Row],[Inst. Online Portal]]="D",Master_Data[[#This Row],[Schweser Prac. Bk 1]]="D",Master_Data[[#This Row],[Schweser Prac. Bk 2]]="D"),"D","U")</f>
        <v>U</v>
      </c>
    </row>
    <row r="12" spans="1:36" ht="29.25" customHeight="1" x14ac:dyDescent="0.3">
      <c r="B12" s="3">
        <v>4</v>
      </c>
      <c r="C12" s="175" t="str">
        <f ca="1">IF(Master_Data[[#This Row],[Column1]]="Done","",IF(Master_Data[[#This Row],[Column1]]=MIN(Master_Data[Column1]),"Current Week",CONCATENATE("Week ",Master_Data[[#This Row],[Column1]])))</f>
        <v>Week 5</v>
      </c>
      <c r="D12" s="3">
        <f ca="1">IF(Master_Data[[#This Row],[Cum. Undone hrs]]=0,"Done",ROUNDUP(Master_Data[[#This Row],[Cum. Undone hrs]]/Working!$C$8,0))</f>
        <v>5</v>
      </c>
      <c r="E12" s="3">
        <f ca="1">IF(OR(D12=D11,D12=D11+1),Master_Data[[#This Row],[Column1]],D12-1)</f>
        <v>4</v>
      </c>
      <c r="F12" s="15">
        <f>SUM($G$9:G12)</f>
        <v>1.0243055555555556</v>
      </c>
      <c r="G12" s="24">
        <f>IF(Master_Data[[#This Row],[Lectures]]="D","",Master_Data[[#This Row],[Duration (hh:mm)]])</f>
        <v>0.32708333333333334</v>
      </c>
      <c r="H12" s="2" t="s">
        <v>15</v>
      </c>
      <c r="I12" s="2">
        <v>30</v>
      </c>
      <c r="J12" s="2" t="s">
        <v>115</v>
      </c>
      <c r="K12" s="42" t="s">
        <v>179</v>
      </c>
      <c r="L12" s="262">
        <v>1</v>
      </c>
      <c r="M12" s="16">
        <v>7</v>
      </c>
      <c r="N12" s="41">
        <v>5</v>
      </c>
      <c r="O12" s="41">
        <v>5</v>
      </c>
      <c r="P12" s="41">
        <v>4</v>
      </c>
      <c r="Q12" s="41">
        <v>4</v>
      </c>
      <c r="R12" s="41">
        <v>5</v>
      </c>
      <c r="S12" s="41">
        <v>4</v>
      </c>
      <c r="T12" s="13">
        <v>0.32708333333333334</v>
      </c>
      <c r="U12" s="40">
        <f>(SUM($T$9:T12)/$T$4)*100</f>
        <v>12.794934073560027</v>
      </c>
      <c r="V12" s="25" t="s">
        <v>6</v>
      </c>
      <c r="W12" s="25" t="s">
        <v>6</v>
      </c>
      <c r="X12" s="25" t="s">
        <v>6</v>
      </c>
      <c r="Y12" s="25" t="s">
        <v>6</v>
      </c>
      <c r="Z12" s="25" t="s">
        <v>6</v>
      </c>
      <c r="AA12" s="25" t="s">
        <v>6</v>
      </c>
      <c r="AB12" s="25" t="s">
        <v>6</v>
      </c>
      <c r="AC12" s="25" t="s">
        <v>6</v>
      </c>
      <c r="AD12" s="153">
        <v>2</v>
      </c>
      <c r="AE12" s="17"/>
      <c r="AF12" s="168">
        <f t="shared" si="0"/>
        <v>3.125E-2</v>
      </c>
      <c r="AG12" s="169">
        <f>Master_Data[[#This Row],[Imp. Level]]/SUMIF(Master_Data[Subject],Master_Data[[#This Row],[Subject]],Master_Data[Imp. Level])</f>
        <v>0.5</v>
      </c>
      <c r="AH12" s="151">
        <f>Master_Data[[#This Row],[Subjectwise weights]]*Master_Data[[#This Row],[Confidence Level]]</f>
        <v>1</v>
      </c>
      <c r="AI12" s="152" t="str">
        <f>IF(AND(Master_Data[[#This Row],[Inst. EOC Ques.]]="D",Master_Data[[#This Row],[Prac. Book]]="D"),"D","U")</f>
        <v>U</v>
      </c>
      <c r="AJ12" s="149" t="str">
        <f>IF(AND(Master_Data[[#This Row],[Inst. Online Portal]]="D",Master_Data[[#This Row],[Schweser Prac. Bk 1]]="D",Master_Data[[#This Row],[Schweser Prac. Bk 2]]="D"),"D","U")</f>
        <v>U</v>
      </c>
    </row>
    <row r="13" spans="1:36" ht="29.25" customHeight="1" x14ac:dyDescent="0.3">
      <c r="B13" s="3">
        <v>5</v>
      </c>
      <c r="C13" s="175" t="str">
        <f ca="1">IF(Master_Data[[#This Row],[Column1]]="Done","",IF(Master_Data[[#This Row],[Column1]]=MIN(Master_Data[Column1]),"Current Week",CONCATENATE("Week ",Master_Data[[#This Row],[Column1]])))</f>
        <v>Week 7</v>
      </c>
      <c r="D13" s="3">
        <f ca="1">IF(Master_Data[[#This Row],[Cum. Undone hrs]]=0,"Done",ROUNDUP(Master_Data[[#This Row],[Cum. Undone hrs]]/Working!$C$8,0))</f>
        <v>7</v>
      </c>
      <c r="E13" s="3">
        <f ca="1">IF(OR(D13=D12,D13=D12+1),Master_Data[[#This Row],[Column1]],D13-1)</f>
        <v>6</v>
      </c>
      <c r="F13" s="15">
        <f>SUM($G$9:G13)</f>
        <v>1.5229166666666667</v>
      </c>
      <c r="G13" s="24">
        <f>IF(Master_Data[[#This Row],[Lectures]]="D","",Master_Data[[#This Row],[Duration (hh:mm)]])</f>
        <v>0.49861111111111112</v>
      </c>
      <c r="H13" s="2" t="s">
        <v>15</v>
      </c>
      <c r="I13" s="2">
        <v>31</v>
      </c>
      <c r="J13" s="2" t="s">
        <v>115</v>
      </c>
      <c r="K13" s="42" t="s">
        <v>180</v>
      </c>
      <c r="L13" s="262">
        <v>1</v>
      </c>
      <c r="M13" s="16">
        <v>14</v>
      </c>
      <c r="N13" s="41">
        <v>5</v>
      </c>
      <c r="O13" s="41">
        <v>5</v>
      </c>
      <c r="P13" s="41">
        <v>5</v>
      </c>
      <c r="Q13" s="41">
        <v>5</v>
      </c>
      <c r="R13" s="41">
        <v>5</v>
      </c>
      <c r="S13" s="41">
        <v>5</v>
      </c>
      <c r="T13" s="13">
        <v>0.49861111111111112</v>
      </c>
      <c r="U13" s="40">
        <f>(SUM($T$9:T13)/$T$4)*100</f>
        <v>19.023247744621788</v>
      </c>
      <c r="V13" s="25" t="s">
        <v>6</v>
      </c>
      <c r="W13" s="25" t="s">
        <v>6</v>
      </c>
      <c r="X13" s="25" t="s">
        <v>6</v>
      </c>
      <c r="Y13" s="25" t="s">
        <v>6</v>
      </c>
      <c r="Z13" s="25" t="s">
        <v>6</v>
      </c>
      <c r="AA13" s="25" t="s">
        <v>6</v>
      </c>
      <c r="AB13" s="25" t="s">
        <v>6</v>
      </c>
      <c r="AC13" s="25" t="s">
        <v>6</v>
      </c>
      <c r="AD13" s="153">
        <v>3</v>
      </c>
      <c r="AE13" s="17"/>
      <c r="AF13" s="168">
        <f t="shared" si="0"/>
        <v>3.125E-2</v>
      </c>
      <c r="AG13" s="169">
        <f>Master_Data[[#This Row],[Imp. Level]]/SUMIF(Master_Data[Subject],Master_Data[[#This Row],[Subject]],Master_Data[Imp. Level])</f>
        <v>0.5</v>
      </c>
      <c r="AH13" s="151">
        <f>Master_Data[[#This Row],[Subjectwise weights]]*Master_Data[[#This Row],[Confidence Level]]</f>
        <v>1.5</v>
      </c>
      <c r="AI13" s="152" t="str">
        <f>IF(AND(Master_Data[[#This Row],[Inst. EOC Ques.]]="D",Master_Data[[#This Row],[Prac. Book]]="D"),"D","U")</f>
        <v>U</v>
      </c>
      <c r="AJ13" s="149" t="str">
        <f>IF(AND(Master_Data[[#This Row],[Inst. Online Portal]]="D",Master_Data[[#This Row],[Schweser Prac. Bk 1]]="D",Master_Data[[#This Row],[Schweser Prac. Bk 2]]="D"),"D","U")</f>
        <v>U</v>
      </c>
    </row>
    <row r="14" spans="1:36" ht="29.25" customHeight="1" x14ac:dyDescent="0.3">
      <c r="B14" s="3">
        <v>6</v>
      </c>
      <c r="C14" s="175" t="str">
        <f ca="1">IF(Master_Data[[#This Row],[Column1]]="Done","",IF(Master_Data[[#This Row],[Column1]]=MIN(Master_Data[Column1]),"Current Week",CONCATENATE("Week ",Master_Data[[#This Row],[Column1]])))</f>
        <v>Week 8</v>
      </c>
      <c r="D14" s="3">
        <f ca="1">IF(Master_Data[[#This Row],[Cum. Undone hrs]]=0,"Done",ROUNDUP(Master_Data[[#This Row],[Cum. Undone hrs]]/Working!$C$8,0))</f>
        <v>8</v>
      </c>
      <c r="E14" s="3">
        <f ca="1">IF(OR(D14=D13,D14=D13+1),Master_Data[[#This Row],[Column1]],D14-1)</f>
        <v>8</v>
      </c>
      <c r="F14" s="15">
        <f>SUM($G$9:G14)</f>
        <v>1.7659722222222223</v>
      </c>
      <c r="G14" s="24">
        <f>IF(Master_Data[[#This Row],[Lectures]]="D","",Master_Data[[#This Row],[Duration (hh:mm)]])</f>
        <v>0.24305555555555555</v>
      </c>
      <c r="H14" s="2" t="s">
        <v>226</v>
      </c>
      <c r="I14" s="2">
        <v>10</v>
      </c>
      <c r="J14" s="2" t="s">
        <v>115</v>
      </c>
      <c r="K14" s="42" t="s">
        <v>181</v>
      </c>
      <c r="L14" s="262">
        <v>1</v>
      </c>
      <c r="M14" s="16">
        <v>10</v>
      </c>
      <c r="N14" s="41">
        <v>4</v>
      </c>
      <c r="O14" s="41">
        <v>4</v>
      </c>
      <c r="P14" s="41">
        <v>5</v>
      </c>
      <c r="Q14" s="41">
        <v>5</v>
      </c>
      <c r="R14" s="41">
        <v>4</v>
      </c>
      <c r="S14" s="41">
        <v>5</v>
      </c>
      <c r="T14" s="13">
        <v>0.24305555555555555</v>
      </c>
      <c r="U14" s="40">
        <f>(SUM($T$9:T14)/$T$4)*100</f>
        <v>22.059333795975018</v>
      </c>
      <c r="V14" s="25" t="s">
        <v>6</v>
      </c>
      <c r="W14" s="25" t="s">
        <v>6</v>
      </c>
      <c r="X14" s="25" t="s">
        <v>6</v>
      </c>
      <c r="Y14" s="25" t="s">
        <v>6</v>
      </c>
      <c r="Z14" s="25" t="s">
        <v>6</v>
      </c>
      <c r="AA14" s="25" t="s">
        <v>6</v>
      </c>
      <c r="AB14" s="25" t="s">
        <v>6</v>
      </c>
      <c r="AC14" s="25" t="s">
        <v>6</v>
      </c>
      <c r="AD14" s="153">
        <v>2</v>
      </c>
      <c r="AE14" s="17"/>
      <c r="AF14" s="168">
        <f t="shared" si="0"/>
        <v>2.5000000000000001E-2</v>
      </c>
      <c r="AG14" s="169">
        <f>Master_Data[[#This Row],[Imp. Level]]/SUMIF(Master_Data[Subject],Master_Data[[#This Row],[Subject]],Master_Data[Imp. Level])</f>
        <v>0.16666666666666666</v>
      </c>
      <c r="AH14" s="151">
        <f>Master_Data[[#This Row],[Subjectwise weights]]*Master_Data[[#This Row],[Confidence Level]]</f>
        <v>0.33333333333333331</v>
      </c>
      <c r="AI14" s="152" t="str">
        <f>IF(AND(Master_Data[[#This Row],[Inst. EOC Ques.]]="D",Master_Data[[#This Row],[Prac. Book]]="D"),"D","U")</f>
        <v>U</v>
      </c>
      <c r="AJ14" s="149" t="str">
        <f>IF(AND(Master_Data[[#This Row],[Inst. Online Portal]]="D",Master_Data[[#This Row],[Schweser Prac. Bk 1]]="D",Master_Data[[#This Row],[Schweser Prac. Bk 2]]="D"),"D","U")</f>
        <v>U</v>
      </c>
    </row>
    <row r="15" spans="1:36" ht="29.25" customHeight="1" x14ac:dyDescent="0.3">
      <c r="B15" s="3">
        <v>7</v>
      </c>
      <c r="C15" s="175" t="str">
        <f ca="1">IF(Master_Data[[#This Row],[Column1]]="Done","",IF(Master_Data[[#This Row],[Column1]]=MIN(Master_Data[Column1]),"Current Week",CONCATENATE("Week ",Master_Data[[#This Row],[Column1]])))</f>
        <v>Week 9</v>
      </c>
      <c r="D15" s="3">
        <f ca="1">IF(Master_Data[[#This Row],[Cum. Undone hrs]]=0,"Done",ROUNDUP(Master_Data[[#This Row],[Cum. Undone hrs]]/Working!$C$8,0))</f>
        <v>9</v>
      </c>
      <c r="E15" s="3">
        <f ca="1">IF(OR(D15=D14,D15=D14+1),Master_Data[[#This Row],[Column1]],D15-1)</f>
        <v>9</v>
      </c>
      <c r="F15" s="15">
        <f>SUM($G$9:G15)</f>
        <v>2.0076388888888888</v>
      </c>
      <c r="G15" s="24">
        <f>IF(Master_Data[[#This Row],[Lectures]]="D","",Master_Data[[#This Row],[Duration (hh:mm)]])</f>
        <v>0.24166666666666667</v>
      </c>
      <c r="H15" s="2" t="s">
        <v>226</v>
      </c>
      <c r="I15" s="2">
        <v>11</v>
      </c>
      <c r="J15" s="2" t="s">
        <v>221</v>
      </c>
      <c r="K15" s="42" t="s">
        <v>182</v>
      </c>
      <c r="L15" s="262">
        <v>1</v>
      </c>
      <c r="M15" s="16">
        <v>6</v>
      </c>
      <c r="N15" s="41">
        <v>4</v>
      </c>
      <c r="O15" s="41">
        <v>3</v>
      </c>
      <c r="P15" s="41">
        <v>3</v>
      </c>
      <c r="Q15" s="41">
        <v>3</v>
      </c>
      <c r="R15" s="41">
        <v>4</v>
      </c>
      <c r="S15" s="41">
        <v>4</v>
      </c>
      <c r="T15" s="13">
        <v>0.24166666666666667</v>
      </c>
      <c r="U15" s="40">
        <f>(SUM($T$9:T15)/$T$4)*100</f>
        <v>25.078070784177648</v>
      </c>
      <c r="V15" s="25" t="s">
        <v>6</v>
      </c>
      <c r="W15" s="25" t="s">
        <v>6</v>
      </c>
      <c r="X15" s="25" t="s">
        <v>6</v>
      </c>
      <c r="Y15" s="25" t="s">
        <v>6</v>
      </c>
      <c r="Z15" s="25" t="s">
        <v>6</v>
      </c>
      <c r="AA15" s="25" t="s">
        <v>6</v>
      </c>
      <c r="AB15" s="25" t="s">
        <v>6</v>
      </c>
      <c r="AC15" s="25" t="s">
        <v>6</v>
      </c>
      <c r="AD15" s="153">
        <v>3</v>
      </c>
      <c r="AE15" s="17"/>
      <c r="AF15" s="168">
        <f t="shared" si="0"/>
        <v>2.5000000000000001E-2</v>
      </c>
      <c r="AG15" s="169">
        <f>Master_Data[[#This Row],[Imp. Level]]/SUMIF(Master_Data[Subject],Master_Data[[#This Row],[Subject]],Master_Data[Imp. Level])</f>
        <v>0.16666666666666666</v>
      </c>
      <c r="AH15" s="151">
        <f>Master_Data[[#This Row],[Subjectwise weights]]*Master_Data[[#This Row],[Confidence Level]]</f>
        <v>0.5</v>
      </c>
      <c r="AI15" s="152" t="str">
        <f>IF(AND(Master_Data[[#This Row],[Inst. EOC Ques.]]="D",Master_Data[[#This Row],[Prac. Book]]="D"),"D","U")</f>
        <v>U</v>
      </c>
      <c r="AJ15" s="149" t="str">
        <f>IF(AND(Master_Data[[#This Row],[Inst. Online Portal]]="D",Master_Data[[#This Row],[Schweser Prac. Bk 1]]="D",Master_Data[[#This Row],[Schweser Prac. Bk 2]]="D"),"D","U")</f>
        <v>U</v>
      </c>
    </row>
    <row r="16" spans="1:36" ht="29.25" customHeight="1" x14ac:dyDescent="0.3">
      <c r="B16" s="3">
        <v>8</v>
      </c>
      <c r="C16" s="175" t="str">
        <f ca="1">IF(Master_Data[[#This Row],[Column1]]="Done","",IF(Master_Data[[#This Row],[Column1]]=MIN(Master_Data[Column1]),"Current Week",CONCATENATE("Week ",Master_Data[[#This Row],[Column1]])))</f>
        <v>Week 10</v>
      </c>
      <c r="D16" s="3">
        <f ca="1">IF(Master_Data[[#This Row],[Cum. Undone hrs]]=0,"Done",ROUNDUP(Master_Data[[#This Row],[Cum. Undone hrs]]/Working!$C$8,0))</f>
        <v>10</v>
      </c>
      <c r="E16" s="3">
        <f ca="1">IF(OR(D16=D15,D16=D15+1),Master_Data[[#This Row],[Column1]],D16-1)</f>
        <v>10</v>
      </c>
      <c r="F16" s="15">
        <f>SUM($G$9:G16)</f>
        <v>2.3006944444444444</v>
      </c>
      <c r="G16" s="24">
        <f>IF(Master_Data[[#This Row],[Lectures]]="D","",Master_Data[[#This Row],[Duration (hh:mm)]])</f>
        <v>0.29305555555555557</v>
      </c>
      <c r="H16" s="2" t="s">
        <v>226</v>
      </c>
      <c r="I16" s="2">
        <v>8</v>
      </c>
      <c r="J16" s="2" t="s">
        <v>115</v>
      </c>
      <c r="K16" s="42" t="s">
        <v>183</v>
      </c>
      <c r="L16" s="262">
        <v>1</v>
      </c>
      <c r="M16" s="16">
        <v>3</v>
      </c>
      <c r="N16" s="41">
        <v>4</v>
      </c>
      <c r="O16" s="41">
        <v>4</v>
      </c>
      <c r="P16" s="41">
        <v>4</v>
      </c>
      <c r="Q16" s="41">
        <v>4</v>
      </c>
      <c r="R16" s="41">
        <v>4</v>
      </c>
      <c r="S16" s="41">
        <v>4</v>
      </c>
      <c r="T16" s="12">
        <v>0.29305555555555557</v>
      </c>
      <c r="U16" s="40">
        <f>(SUM($T$9:T16)/$T$4)*100</f>
        <v>28.738723108952115</v>
      </c>
      <c r="V16" s="25" t="s">
        <v>6</v>
      </c>
      <c r="W16" s="25" t="s">
        <v>6</v>
      </c>
      <c r="X16" s="25" t="s">
        <v>6</v>
      </c>
      <c r="Y16" s="25" t="s">
        <v>6</v>
      </c>
      <c r="Z16" s="25" t="s">
        <v>6</v>
      </c>
      <c r="AA16" s="25" t="s">
        <v>6</v>
      </c>
      <c r="AB16" s="25" t="s">
        <v>6</v>
      </c>
      <c r="AC16" s="25" t="s">
        <v>6</v>
      </c>
      <c r="AD16" s="153">
        <v>2</v>
      </c>
      <c r="AE16" s="17"/>
      <c r="AF16" s="168">
        <f t="shared" si="0"/>
        <v>2.5000000000000001E-2</v>
      </c>
      <c r="AG16" s="169">
        <f>Master_Data[[#This Row],[Imp. Level]]/SUMIF(Master_Data[Subject],Master_Data[[#This Row],[Subject]],Master_Data[Imp. Level])</f>
        <v>0.16666666666666666</v>
      </c>
      <c r="AH16" s="151">
        <f>Master_Data[[#This Row],[Subjectwise weights]]*Master_Data[[#This Row],[Confidence Level]]</f>
        <v>0.33333333333333331</v>
      </c>
      <c r="AI16" s="152" t="str">
        <f>IF(AND(Master_Data[[#This Row],[Inst. EOC Ques.]]="D",Master_Data[[#This Row],[Prac. Book]]="D"),"D","U")</f>
        <v>U</v>
      </c>
      <c r="AJ16" s="149" t="str">
        <f>IF(AND(Master_Data[[#This Row],[Inst. Online Portal]]="D",Master_Data[[#This Row],[Schweser Prac. Bk 1]]="D",Master_Data[[#This Row],[Schweser Prac. Bk 2]]="D"),"D","U")</f>
        <v>U</v>
      </c>
    </row>
    <row r="17" spans="2:71" s="39" customFormat="1" ht="29.25" customHeight="1" x14ac:dyDescent="0.3">
      <c r="B17" s="3">
        <v>9</v>
      </c>
      <c r="C17" s="175" t="str">
        <f ca="1">IF(Master_Data[[#This Row],[Column1]]="Done","",IF(Master_Data[[#This Row],[Column1]]=MIN(Master_Data[Column1]),"Current Week",CONCATENATE("Week ",Master_Data[[#This Row],[Column1]])))</f>
        <v>Week 11</v>
      </c>
      <c r="D17" s="3">
        <f ca="1">IF(Master_Data[[#This Row],[Cum. Undone hrs]]=0,"Done",ROUNDUP(Master_Data[[#This Row],[Cum. Undone hrs]]/Working!$C$8,0))</f>
        <v>11</v>
      </c>
      <c r="E17" s="3">
        <f ca="1">IF(OR(D17=D16,D17=D16+1),Master_Data[[#This Row],[Column1]],D17-1)</f>
        <v>11</v>
      </c>
      <c r="F17" s="15">
        <f>SUM($G$9:G17)</f>
        <v>2.5145833333333334</v>
      </c>
      <c r="G17" s="24">
        <f>IF(Master_Data[[#This Row],[Lectures]]="D","",Master_Data[[#This Row],[Duration (hh:mm)]])</f>
        <v>0.21388888888888891</v>
      </c>
      <c r="H17" s="2" t="s">
        <v>226</v>
      </c>
      <c r="I17" s="2">
        <v>9</v>
      </c>
      <c r="J17" s="2" t="s">
        <v>114</v>
      </c>
      <c r="K17" s="42" t="s">
        <v>218</v>
      </c>
      <c r="L17" s="262">
        <v>1</v>
      </c>
      <c r="M17" s="16">
        <v>5</v>
      </c>
      <c r="N17" s="41">
        <v>4</v>
      </c>
      <c r="O17" s="41">
        <v>3</v>
      </c>
      <c r="P17" s="41">
        <v>5</v>
      </c>
      <c r="Q17" s="41">
        <v>5</v>
      </c>
      <c r="R17" s="41">
        <v>4</v>
      </c>
      <c r="S17" s="41">
        <v>5</v>
      </c>
      <c r="T17" s="12">
        <v>0.21388888888888891</v>
      </c>
      <c r="U17" s="40">
        <f>(SUM($T$9:T17)/$T$4)*100</f>
        <v>31.410478834142953</v>
      </c>
      <c r="V17" s="25" t="s">
        <v>6</v>
      </c>
      <c r="W17" s="25" t="s">
        <v>6</v>
      </c>
      <c r="X17" s="25" t="s">
        <v>6</v>
      </c>
      <c r="Y17" s="25" t="s">
        <v>6</v>
      </c>
      <c r="Z17" s="25" t="s">
        <v>6</v>
      </c>
      <c r="AA17" s="25" t="s">
        <v>6</v>
      </c>
      <c r="AB17" s="25" t="s">
        <v>6</v>
      </c>
      <c r="AC17" s="25" t="s">
        <v>6</v>
      </c>
      <c r="AD17" s="153">
        <v>3</v>
      </c>
      <c r="AE17" s="17"/>
      <c r="AF17" s="168">
        <f t="shared" si="0"/>
        <v>2.5000000000000001E-2</v>
      </c>
      <c r="AG17" s="169">
        <f>Master_Data[[#This Row],[Imp. Level]]/SUMIF(Master_Data[Subject],Master_Data[[#This Row],[Subject]],Master_Data[Imp. Level])</f>
        <v>0.16666666666666666</v>
      </c>
      <c r="AH17" s="151">
        <f>Master_Data[[#This Row],[Subjectwise weights]]*Master_Data[[#This Row],[Confidence Level]]</f>
        <v>0.5</v>
      </c>
      <c r="AI17" s="152" t="str">
        <f>IF(AND(Master_Data[[#This Row],[Inst. EOC Ques.]]="D",Master_Data[[#This Row],[Prac. Book]]="D"),"D","U")</f>
        <v>U</v>
      </c>
      <c r="AJ17" s="149" t="str">
        <f>IF(AND(Master_Data[[#This Row],[Inst. Online Portal]]="D",Master_Data[[#This Row],[Schweser Prac. Bk 1]]="D",Master_Data[[#This Row],[Schweser Prac. Bk 2]]="D"),"D","U")</f>
        <v>U</v>
      </c>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row>
    <row r="18" spans="2:71" ht="29.25" customHeight="1" x14ac:dyDescent="0.3">
      <c r="B18" s="3">
        <v>10</v>
      </c>
      <c r="C18" s="175" t="str">
        <f ca="1">IF(Master_Data[[#This Row],[Column1]]="Done","",IF(Master_Data[[#This Row],[Column1]]=MIN(Master_Data[Column1]),"Current Week",CONCATENATE("Week ",Master_Data[[#This Row],[Column1]])))</f>
        <v>Week 11</v>
      </c>
      <c r="D18" s="3">
        <f ca="1">IF(Master_Data[[#This Row],[Cum. Undone hrs]]=0,"Done",ROUNDUP(Master_Data[[#This Row],[Cum. Undone hrs]]/Working!$C$8,0))</f>
        <v>11</v>
      </c>
      <c r="E18" s="3">
        <f ca="1">IF(OR(D18=D17,D18=D17+1),Master_Data[[#This Row],[Column1]],D18-1)</f>
        <v>11</v>
      </c>
      <c r="F18" s="15">
        <f>SUM($G$9:G18)</f>
        <v>2.5881944444444445</v>
      </c>
      <c r="G18" s="24">
        <f>IF(Master_Data[[#This Row],[Lectures]]="D","",Master_Data[[#This Row],[Duration (hh:mm)]])</f>
        <v>7.3611111111111113E-2</v>
      </c>
      <c r="H18" s="2" t="s">
        <v>226</v>
      </c>
      <c r="I18" s="2">
        <v>12</v>
      </c>
      <c r="J18" s="2" t="s">
        <v>115</v>
      </c>
      <c r="K18" s="42" t="s">
        <v>184</v>
      </c>
      <c r="L18" s="262">
        <v>1</v>
      </c>
      <c r="M18" s="16">
        <v>13</v>
      </c>
      <c r="N18" s="41">
        <v>2</v>
      </c>
      <c r="O18" s="41">
        <v>2</v>
      </c>
      <c r="P18" s="41">
        <v>2</v>
      </c>
      <c r="Q18" s="41">
        <v>3</v>
      </c>
      <c r="R18" s="41">
        <v>3</v>
      </c>
      <c r="S18" s="41">
        <v>4</v>
      </c>
      <c r="T18" s="13">
        <v>7.3611111111111113E-2</v>
      </c>
      <c r="U18" s="40">
        <f>(SUM($T$9:T18)/$T$4)*100</f>
        <v>32.329979181124216</v>
      </c>
      <c r="V18" s="25" t="s">
        <v>6</v>
      </c>
      <c r="W18" s="25" t="s">
        <v>6</v>
      </c>
      <c r="X18" s="25" t="s">
        <v>6</v>
      </c>
      <c r="Y18" s="25" t="s">
        <v>6</v>
      </c>
      <c r="Z18" s="25" t="s">
        <v>6</v>
      </c>
      <c r="AA18" s="25" t="s">
        <v>6</v>
      </c>
      <c r="AB18" s="25" t="s">
        <v>6</v>
      </c>
      <c r="AC18" s="25" t="s">
        <v>6</v>
      </c>
      <c r="AD18" s="153">
        <v>2</v>
      </c>
      <c r="AE18" s="17"/>
      <c r="AF18" s="168">
        <f t="shared" si="0"/>
        <v>1.8749999999999999E-2</v>
      </c>
      <c r="AG18" s="169">
        <f>Master_Data[[#This Row],[Imp. Level]]/SUMIF(Master_Data[Subject],Master_Data[[#This Row],[Subject]],Master_Data[Imp. Level])</f>
        <v>0.125</v>
      </c>
      <c r="AH18" s="151">
        <f>Master_Data[[#This Row],[Subjectwise weights]]*Master_Data[[#This Row],[Confidence Level]]</f>
        <v>0.25</v>
      </c>
      <c r="AI18" s="152" t="str">
        <f>IF(AND(Master_Data[[#This Row],[Inst. EOC Ques.]]="D",Master_Data[[#This Row],[Prac. Book]]="D"),"D","U")</f>
        <v>U</v>
      </c>
      <c r="AJ18" s="149" t="str">
        <f>IF(AND(Master_Data[[#This Row],[Inst. Online Portal]]="D",Master_Data[[#This Row],[Schweser Prac. Bk 1]]="D",Master_Data[[#This Row],[Schweser Prac. Bk 2]]="D"),"D","U")</f>
        <v>U</v>
      </c>
    </row>
    <row r="19" spans="2:71" ht="29.25" customHeight="1" x14ac:dyDescent="0.3">
      <c r="B19" s="3">
        <v>11</v>
      </c>
      <c r="C19" s="175" t="str">
        <f ca="1">IF(Master_Data[[#This Row],[Column1]]="Done","",IF(Master_Data[[#This Row],[Column1]]=MIN(Master_Data[Column1]),"Current Week",CONCATENATE("Week ",Master_Data[[#This Row],[Column1]])))</f>
        <v>Week 11</v>
      </c>
      <c r="D19" s="3">
        <f ca="1">IF(Master_Data[[#This Row],[Cum. Undone hrs]]=0,"Done",ROUNDUP(Master_Data[[#This Row],[Cum. Undone hrs]]/Working!$C$8,0))</f>
        <v>11</v>
      </c>
      <c r="E19" s="3">
        <f ca="1">IF(OR(D19=D18,D19=D18+1),Master_Data[[#This Row],[Column1]],D19-1)</f>
        <v>11</v>
      </c>
      <c r="F19" s="15">
        <f>SUM($G$9:G19)</f>
        <v>2.6208333333333336</v>
      </c>
      <c r="G19" s="24">
        <f>IF(Master_Data[[#This Row],[Lectures]]="D","",Master_Data[[#This Row],[Duration (hh:mm)]])</f>
        <v>3.2638888888888891E-2</v>
      </c>
      <c r="H19" s="2" t="s">
        <v>226</v>
      </c>
      <c r="I19" s="2">
        <v>13</v>
      </c>
      <c r="J19" s="2" t="s">
        <v>115</v>
      </c>
      <c r="K19" s="42" t="s">
        <v>185</v>
      </c>
      <c r="L19" s="262">
        <v>1</v>
      </c>
      <c r="M19" s="16">
        <v>5</v>
      </c>
      <c r="N19" s="41">
        <v>2</v>
      </c>
      <c r="O19" s="41">
        <v>2</v>
      </c>
      <c r="P19" s="41">
        <v>2</v>
      </c>
      <c r="Q19" s="41">
        <v>3</v>
      </c>
      <c r="R19" s="41">
        <v>3</v>
      </c>
      <c r="S19" s="41">
        <v>4</v>
      </c>
      <c r="T19" s="12">
        <v>3.2638888888888891E-2</v>
      </c>
      <c r="U19" s="40">
        <f>(SUM($T$9:T19)/$T$4)*100</f>
        <v>32.737682165163079</v>
      </c>
      <c r="V19" s="25" t="s">
        <v>6</v>
      </c>
      <c r="W19" s="25" t="s">
        <v>6</v>
      </c>
      <c r="X19" s="25" t="s">
        <v>6</v>
      </c>
      <c r="Y19" s="25" t="s">
        <v>6</v>
      </c>
      <c r="Z19" s="25" t="s">
        <v>6</v>
      </c>
      <c r="AA19" s="25" t="s">
        <v>6</v>
      </c>
      <c r="AB19" s="25" t="s">
        <v>6</v>
      </c>
      <c r="AC19" s="25" t="s">
        <v>6</v>
      </c>
      <c r="AD19" s="153">
        <v>3</v>
      </c>
      <c r="AE19" s="17"/>
      <c r="AF19" s="168">
        <f t="shared" si="0"/>
        <v>1.8749999999999999E-2</v>
      </c>
      <c r="AG19" s="169">
        <f>Master_Data[[#This Row],[Imp. Level]]/SUMIF(Master_Data[Subject],Master_Data[[#This Row],[Subject]],Master_Data[Imp. Level])</f>
        <v>0.125</v>
      </c>
      <c r="AH19" s="151">
        <f>Master_Data[[#This Row],[Subjectwise weights]]*Master_Data[[#This Row],[Confidence Level]]</f>
        <v>0.375</v>
      </c>
      <c r="AI19" s="152" t="str">
        <f>IF(AND(Master_Data[[#This Row],[Inst. EOC Ques.]]="D",Master_Data[[#This Row],[Prac. Book]]="D"),"D","U")</f>
        <v>U</v>
      </c>
      <c r="AJ19" s="149" t="str">
        <f>IF(AND(Master_Data[[#This Row],[Inst. Online Portal]]="D",Master_Data[[#This Row],[Schweser Prac. Bk 1]]="D",Master_Data[[#This Row],[Schweser Prac. Bk 2]]="D"),"D","U")</f>
        <v>U</v>
      </c>
    </row>
    <row r="20" spans="2:71" ht="29.25" customHeight="1" x14ac:dyDescent="0.3">
      <c r="B20" s="3">
        <v>12</v>
      </c>
      <c r="C20" s="175" t="str">
        <f ca="1">IF(Master_Data[[#This Row],[Column1]]="Done","",IF(Master_Data[[#This Row],[Column1]]=MIN(Master_Data[Column1]),"Current Week",CONCATENATE("Week ",Master_Data[[#This Row],[Column1]])))</f>
        <v>Week 12</v>
      </c>
      <c r="D20" s="3">
        <f ca="1">IF(Master_Data[[#This Row],[Cum. Undone hrs]]=0,"Done",ROUNDUP(Master_Data[[#This Row],[Cum. Undone hrs]]/Working!$C$8,0))</f>
        <v>12</v>
      </c>
      <c r="E20" s="3">
        <f ca="1">IF(OR(D20=D19,D20=D19+1),Master_Data[[#This Row],[Column1]],D20-1)</f>
        <v>12</v>
      </c>
      <c r="F20" s="15">
        <f>SUM($G$9:G20)</f>
        <v>2.7944444444444447</v>
      </c>
      <c r="G20" s="24">
        <f>IF(Master_Data[[#This Row],[Lectures]]="D","",Master_Data[[#This Row],[Duration (hh:mm)]])</f>
        <v>0.17361111111111113</v>
      </c>
      <c r="H20" s="2" t="s">
        <v>13</v>
      </c>
      <c r="I20" s="2">
        <v>20</v>
      </c>
      <c r="J20" s="2" t="s">
        <v>115</v>
      </c>
      <c r="K20" s="42" t="s">
        <v>186</v>
      </c>
      <c r="L20" s="262">
        <v>1</v>
      </c>
      <c r="M20" s="16">
        <v>16</v>
      </c>
      <c r="N20" s="41">
        <v>4</v>
      </c>
      <c r="O20" s="41">
        <v>5</v>
      </c>
      <c r="P20" s="41">
        <v>3</v>
      </c>
      <c r="Q20" s="41">
        <v>3</v>
      </c>
      <c r="R20" s="41">
        <v>4</v>
      </c>
      <c r="S20" s="41">
        <v>3</v>
      </c>
      <c r="T20" s="13">
        <v>0.17361111111111113</v>
      </c>
      <c r="U20" s="40">
        <f>(SUM($T$9:T20)/$T$4)*100</f>
        <v>34.906315058986813</v>
      </c>
      <c r="V20" s="25" t="s">
        <v>6</v>
      </c>
      <c r="W20" s="25" t="s">
        <v>6</v>
      </c>
      <c r="X20" s="25" t="s">
        <v>6</v>
      </c>
      <c r="Y20" s="25" t="s">
        <v>6</v>
      </c>
      <c r="Z20" s="25" t="s">
        <v>6</v>
      </c>
      <c r="AA20" s="25" t="s">
        <v>6</v>
      </c>
      <c r="AB20" s="25" t="s">
        <v>6</v>
      </c>
      <c r="AC20" s="25" t="s">
        <v>6</v>
      </c>
      <c r="AD20" s="153">
        <v>3</v>
      </c>
      <c r="AE20" s="17"/>
      <c r="AF20" s="168">
        <f t="shared" si="0"/>
        <v>2.5000000000000001E-2</v>
      </c>
      <c r="AG20" s="169">
        <f>Master_Data[[#This Row],[Imp. Level]]/SUMIF(Master_Data[Subject],Master_Data[[#This Row],[Subject]],Master_Data[Imp. Level])</f>
        <v>0.18181818181818182</v>
      </c>
      <c r="AH20" s="151">
        <f>Master_Data[[#This Row],[Subjectwise weights]]*Master_Data[[#This Row],[Confidence Level]]</f>
        <v>0.54545454545454541</v>
      </c>
      <c r="AI20" s="152" t="str">
        <f>IF(AND(Master_Data[[#This Row],[Inst. EOC Ques.]]="D",Master_Data[[#This Row],[Prac. Book]]="D"),"D","U")</f>
        <v>U</v>
      </c>
      <c r="AJ20" s="149" t="str">
        <f>IF(AND(Master_Data[[#This Row],[Inst. Online Portal]]="D",Master_Data[[#This Row],[Schweser Prac. Bk 1]]="D",Master_Data[[#This Row],[Schweser Prac. Bk 2]]="D"),"D","U")</f>
        <v>U</v>
      </c>
    </row>
    <row r="21" spans="2:71" ht="29.25" customHeight="1" x14ac:dyDescent="0.3">
      <c r="B21" s="3">
        <v>13</v>
      </c>
      <c r="C21" s="175" t="str">
        <f ca="1">IF(Master_Data[[#This Row],[Column1]]="Done","",IF(Master_Data[[#This Row],[Column1]]=MIN(Master_Data[Column1]),"Current Week",CONCATENATE("Week ",Master_Data[[#This Row],[Column1]])))</f>
        <v>Week 12</v>
      </c>
      <c r="D21" s="3">
        <f ca="1">IF(Master_Data[[#This Row],[Cum. Undone hrs]]=0,"Done",ROUNDUP(Master_Data[[#This Row],[Cum. Undone hrs]]/Working!$C$8,0))</f>
        <v>12</v>
      </c>
      <c r="E21" s="3">
        <f ca="1">IF(OR(D21=D20,D21=D20+1),Master_Data[[#This Row],[Column1]],D21-1)</f>
        <v>12</v>
      </c>
      <c r="F21" s="15">
        <f>SUM($G$9:G21)</f>
        <v>2.9548611111111116</v>
      </c>
      <c r="G21" s="24">
        <f>IF(Master_Data[[#This Row],[Lectures]]="D","",Master_Data[[#This Row],[Duration (hh:mm)]])</f>
        <v>0.16041666666666668</v>
      </c>
      <c r="H21" s="2" t="s">
        <v>13</v>
      </c>
      <c r="I21" s="2">
        <v>21</v>
      </c>
      <c r="J21" s="2" t="s">
        <v>115</v>
      </c>
      <c r="K21" s="42" t="s">
        <v>187</v>
      </c>
      <c r="L21" s="262">
        <v>1</v>
      </c>
      <c r="M21" s="16">
        <v>13</v>
      </c>
      <c r="N21" s="41">
        <v>3</v>
      </c>
      <c r="O21" s="41">
        <v>5</v>
      </c>
      <c r="P21" s="41">
        <v>4</v>
      </c>
      <c r="Q21" s="41">
        <v>5</v>
      </c>
      <c r="R21" s="41">
        <v>4</v>
      </c>
      <c r="S21" s="41">
        <v>5</v>
      </c>
      <c r="T21" s="13">
        <v>0.16041666666666668</v>
      </c>
      <c r="U21" s="40">
        <f>(SUM($T$9:T21)/$T$4)*100</f>
        <v>36.910131852879942</v>
      </c>
      <c r="V21" s="25" t="s">
        <v>6</v>
      </c>
      <c r="W21" s="25" t="s">
        <v>6</v>
      </c>
      <c r="X21" s="25" t="s">
        <v>6</v>
      </c>
      <c r="Y21" s="25" t="s">
        <v>6</v>
      </c>
      <c r="Z21" s="25" t="s">
        <v>6</v>
      </c>
      <c r="AA21" s="25" t="s">
        <v>6</v>
      </c>
      <c r="AB21" s="25" t="s">
        <v>6</v>
      </c>
      <c r="AC21" s="25" t="s">
        <v>6</v>
      </c>
      <c r="AD21" s="153">
        <v>2</v>
      </c>
      <c r="AE21" s="17"/>
      <c r="AF21" s="168">
        <f t="shared" si="0"/>
        <v>2.5000000000000001E-2</v>
      </c>
      <c r="AG21" s="169">
        <f>Master_Data[[#This Row],[Imp. Level]]/SUMIF(Master_Data[Subject],Master_Data[[#This Row],[Subject]],Master_Data[Imp. Level])</f>
        <v>0.18181818181818182</v>
      </c>
      <c r="AH21" s="151">
        <f>Master_Data[[#This Row],[Subjectwise weights]]*Master_Data[[#This Row],[Confidence Level]]</f>
        <v>0.36363636363636365</v>
      </c>
      <c r="AI21" s="152" t="str">
        <f>IF(AND(Master_Data[[#This Row],[Inst. EOC Ques.]]="D",Master_Data[[#This Row],[Prac. Book]]="D"),"D","U")</f>
        <v>U</v>
      </c>
      <c r="AJ21" s="149" t="str">
        <f>IF(AND(Master_Data[[#This Row],[Inst. Online Portal]]="D",Master_Data[[#This Row],[Schweser Prac. Bk 1]]="D",Master_Data[[#This Row],[Schweser Prac. Bk 2]]="D"),"D","U")</f>
        <v>U</v>
      </c>
    </row>
    <row r="22" spans="2:71" ht="29.25" customHeight="1" x14ac:dyDescent="0.3">
      <c r="B22" s="3">
        <v>14</v>
      </c>
      <c r="C22" s="175" t="str">
        <f ca="1">IF(Master_Data[[#This Row],[Column1]]="Done","",IF(Master_Data[[#This Row],[Column1]]=MIN(Master_Data[Column1]),"Current Week",CONCATENATE("Week ",Master_Data[[#This Row],[Column1]])))</f>
        <v>Week 13</v>
      </c>
      <c r="D22" s="3">
        <f ca="1">IF(Master_Data[[#This Row],[Cum. Undone hrs]]=0,"Done",ROUNDUP(Master_Data[[#This Row],[Cum. Undone hrs]]/Working!$C$8,0))</f>
        <v>13</v>
      </c>
      <c r="E22" s="3">
        <f ca="1">IF(OR(D22=D21,D22=D21+1),Master_Data[[#This Row],[Column1]],D22-1)</f>
        <v>13</v>
      </c>
      <c r="F22" s="15">
        <f>SUM($G$9:G22)</f>
        <v>3.1270833333333337</v>
      </c>
      <c r="G22" s="24">
        <f>IF(Master_Data[[#This Row],[Lectures]]="D","",Master_Data[[#This Row],[Duration (hh:mm)]])</f>
        <v>0.17222222222222225</v>
      </c>
      <c r="H22" s="2" t="s">
        <v>13</v>
      </c>
      <c r="I22" s="2">
        <v>22</v>
      </c>
      <c r="J22" s="2" t="s">
        <v>115</v>
      </c>
      <c r="K22" s="42" t="s">
        <v>216</v>
      </c>
      <c r="L22" s="262">
        <v>1</v>
      </c>
      <c r="M22" s="16">
        <v>18</v>
      </c>
      <c r="N22" s="41">
        <v>3</v>
      </c>
      <c r="O22" s="41">
        <v>5</v>
      </c>
      <c r="P22" s="41">
        <v>3</v>
      </c>
      <c r="Q22" s="41">
        <v>3</v>
      </c>
      <c r="R22" s="41">
        <v>3</v>
      </c>
      <c r="S22" s="41">
        <v>3</v>
      </c>
      <c r="T22" s="12">
        <v>0.17222222222222225</v>
      </c>
      <c r="U22" s="40">
        <f>(SUM($T$9:T22)/$T$4)*100</f>
        <v>39.061415683553086</v>
      </c>
      <c r="V22" s="25" t="s">
        <v>6</v>
      </c>
      <c r="W22" s="25" t="s">
        <v>6</v>
      </c>
      <c r="X22" s="25" t="s">
        <v>6</v>
      </c>
      <c r="Y22" s="25" t="s">
        <v>6</v>
      </c>
      <c r="Z22" s="25" t="s">
        <v>6</v>
      </c>
      <c r="AA22" s="25" t="s">
        <v>6</v>
      </c>
      <c r="AB22" s="25" t="s">
        <v>6</v>
      </c>
      <c r="AC22" s="25" t="s">
        <v>6</v>
      </c>
      <c r="AD22" s="153">
        <v>2</v>
      </c>
      <c r="AE22" s="17"/>
      <c r="AF22" s="168">
        <f t="shared" si="0"/>
        <v>1.8749999999999999E-2</v>
      </c>
      <c r="AG22" s="169">
        <f>Master_Data[[#This Row],[Imp. Level]]/SUMIF(Master_Data[Subject],Master_Data[[#This Row],[Subject]],Master_Data[Imp. Level])</f>
        <v>0.13636363636363635</v>
      </c>
      <c r="AH22" s="151">
        <f>Master_Data[[#This Row],[Subjectwise weights]]*Master_Data[[#This Row],[Confidence Level]]</f>
        <v>0.27272727272727271</v>
      </c>
      <c r="AI22" s="152" t="str">
        <f>IF(AND(Master_Data[[#This Row],[Inst. EOC Ques.]]="D",Master_Data[[#This Row],[Prac. Book]]="D"),"D","U")</f>
        <v>U</v>
      </c>
      <c r="AJ22" s="149" t="str">
        <f>IF(AND(Master_Data[[#This Row],[Inst. Online Portal]]="D",Master_Data[[#This Row],[Schweser Prac. Bk 1]]="D",Master_Data[[#This Row],[Schweser Prac. Bk 2]]="D"),"D","U")</f>
        <v>U</v>
      </c>
    </row>
    <row r="23" spans="2:71" ht="29.25" customHeight="1" x14ac:dyDescent="0.3">
      <c r="B23" s="3">
        <v>15</v>
      </c>
      <c r="C23" s="175" t="str">
        <f ca="1">IF(Master_Data[[#This Row],[Column1]]="Done","",IF(Master_Data[[#This Row],[Column1]]=MIN(Master_Data[Column1]),"Current Week",CONCATENATE("Week ",Master_Data[[#This Row],[Column1]])))</f>
        <v>Week 14</v>
      </c>
      <c r="D23" s="3">
        <f ca="1">IF(Master_Data[[#This Row],[Cum. Undone hrs]]=0,"Done",ROUNDUP(Master_Data[[#This Row],[Cum. Undone hrs]]/Working!$C$8,0))</f>
        <v>14</v>
      </c>
      <c r="E23" s="3">
        <f ca="1">IF(OR(D23=D22,D23=D22+1),Master_Data[[#This Row],[Column1]],D23-1)</f>
        <v>14</v>
      </c>
      <c r="F23" s="15">
        <f>SUM($G$9:G23)</f>
        <v>3.2888888888888892</v>
      </c>
      <c r="G23" s="24">
        <f>IF(Master_Data[[#This Row],[Lectures]]="D","",Master_Data[[#This Row],[Duration (hh:mm)]])</f>
        <v>0.16180555555555556</v>
      </c>
      <c r="H23" s="2" t="s">
        <v>13</v>
      </c>
      <c r="I23" s="2">
        <v>23</v>
      </c>
      <c r="J23" s="2" t="s">
        <v>115</v>
      </c>
      <c r="K23" s="42" t="s">
        <v>188</v>
      </c>
      <c r="L23" s="262">
        <v>1</v>
      </c>
      <c r="M23" s="16">
        <v>11</v>
      </c>
      <c r="N23" s="41">
        <v>3</v>
      </c>
      <c r="O23" s="41">
        <v>4</v>
      </c>
      <c r="P23" s="41">
        <v>5</v>
      </c>
      <c r="Q23" s="41">
        <v>5</v>
      </c>
      <c r="R23" s="41">
        <v>5</v>
      </c>
      <c r="S23" s="41">
        <v>5</v>
      </c>
      <c r="T23" s="13">
        <v>0.16180555555555556</v>
      </c>
      <c r="U23" s="40">
        <f>(SUM($T$9:T23)/$T$4)*100</f>
        <v>41.082581540596806</v>
      </c>
      <c r="V23" s="25" t="s">
        <v>6</v>
      </c>
      <c r="W23" s="25" t="s">
        <v>6</v>
      </c>
      <c r="X23" s="25" t="s">
        <v>6</v>
      </c>
      <c r="Y23" s="25" t="s">
        <v>6</v>
      </c>
      <c r="Z23" s="25" t="s">
        <v>6</v>
      </c>
      <c r="AA23" s="25" t="s">
        <v>6</v>
      </c>
      <c r="AB23" s="25" t="s">
        <v>6</v>
      </c>
      <c r="AC23" s="25" t="s">
        <v>6</v>
      </c>
      <c r="AD23" s="153">
        <v>2</v>
      </c>
      <c r="AE23" s="17"/>
      <c r="AF23" s="168">
        <f t="shared" si="0"/>
        <v>3.125E-2</v>
      </c>
      <c r="AG23" s="169">
        <f>Master_Data[[#This Row],[Imp. Level]]/SUMIF(Master_Data[Subject],Master_Data[[#This Row],[Subject]],Master_Data[Imp. Level])</f>
        <v>0.22727272727272727</v>
      </c>
      <c r="AH23" s="151">
        <f>Master_Data[[#This Row],[Subjectwise weights]]*Master_Data[[#This Row],[Confidence Level]]</f>
        <v>0.45454545454545453</v>
      </c>
      <c r="AI23" s="152" t="str">
        <f>IF(AND(Master_Data[[#This Row],[Inst. EOC Ques.]]="D",Master_Data[[#This Row],[Prac. Book]]="D"),"D","U")</f>
        <v>U</v>
      </c>
      <c r="AJ23" s="149" t="str">
        <f>IF(AND(Master_Data[[#This Row],[Inst. Online Portal]]="D",Master_Data[[#This Row],[Schweser Prac. Bk 1]]="D",Master_Data[[#This Row],[Schweser Prac. Bk 2]]="D"),"D","U")</f>
        <v>U</v>
      </c>
    </row>
    <row r="24" spans="2:71" ht="29.25" customHeight="1" x14ac:dyDescent="0.3">
      <c r="B24" s="3">
        <v>16</v>
      </c>
      <c r="C24" s="175" t="str">
        <f ca="1">IF(Master_Data[[#This Row],[Column1]]="Done","",IF(Master_Data[[#This Row],[Column1]]=MIN(Master_Data[Column1]),"Current Week",CONCATENATE("Week ",Master_Data[[#This Row],[Column1]])))</f>
        <v>Week 14</v>
      </c>
      <c r="D24" s="3">
        <f ca="1">IF(Master_Data[[#This Row],[Cum. Undone hrs]]=0,"Done",ROUNDUP(Master_Data[[#This Row],[Cum. Undone hrs]]/Working!$C$8,0))</f>
        <v>14</v>
      </c>
      <c r="E24" s="3">
        <f ca="1">IF(OR(D24=D23,D24=D23+1),Master_Data[[#This Row],[Column1]],D24-1)</f>
        <v>14</v>
      </c>
      <c r="F24" s="15">
        <f>SUM($G$9:G24)</f>
        <v>3.4854166666666671</v>
      </c>
      <c r="G24" s="24">
        <f>IF(Master_Data[[#This Row],[Lectures]]="D","",Master_Data[[#This Row],[Duration (hh:mm)]])</f>
        <v>0.19652777777777777</v>
      </c>
      <c r="H24" s="2" t="s">
        <v>13</v>
      </c>
      <c r="I24" s="2">
        <v>24</v>
      </c>
      <c r="J24" s="2" t="s">
        <v>114</v>
      </c>
      <c r="K24" s="42" t="s">
        <v>189</v>
      </c>
      <c r="L24" s="262">
        <v>1</v>
      </c>
      <c r="M24" s="16">
        <v>9</v>
      </c>
      <c r="N24" s="41">
        <v>3</v>
      </c>
      <c r="O24" s="41">
        <v>2</v>
      </c>
      <c r="P24" s="41">
        <v>3</v>
      </c>
      <c r="Q24" s="41">
        <v>4</v>
      </c>
      <c r="R24" s="41">
        <v>4</v>
      </c>
      <c r="S24" s="41">
        <v>4</v>
      </c>
      <c r="T24" s="14">
        <v>0.19652777777777777</v>
      </c>
      <c r="U24" s="40">
        <f>(SUM($T$9:T24)/$T$4)*100</f>
        <v>43.537473976405273</v>
      </c>
      <c r="V24" s="25" t="s">
        <v>6</v>
      </c>
      <c r="W24" s="25" t="s">
        <v>6</v>
      </c>
      <c r="X24" s="25" t="s">
        <v>6</v>
      </c>
      <c r="Y24" s="25" t="s">
        <v>6</v>
      </c>
      <c r="Z24" s="25" t="s">
        <v>6</v>
      </c>
      <c r="AA24" s="25" t="s">
        <v>6</v>
      </c>
      <c r="AB24" s="25" t="s">
        <v>6</v>
      </c>
      <c r="AC24" s="25" t="s">
        <v>6</v>
      </c>
      <c r="AD24" s="153">
        <v>3</v>
      </c>
      <c r="AE24" s="17"/>
      <c r="AF24" s="168">
        <f t="shared" si="0"/>
        <v>2.5000000000000001E-2</v>
      </c>
      <c r="AG24" s="169">
        <f>Master_Data[[#This Row],[Imp. Level]]/SUMIF(Master_Data[Subject],Master_Data[[#This Row],[Subject]],Master_Data[Imp. Level])</f>
        <v>0.18181818181818182</v>
      </c>
      <c r="AH24" s="151">
        <f>Master_Data[[#This Row],[Subjectwise weights]]*Master_Data[[#This Row],[Confidence Level]]</f>
        <v>0.54545454545454541</v>
      </c>
      <c r="AI24" s="152" t="str">
        <f>IF(AND(Master_Data[[#This Row],[Inst. EOC Ques.]]="D",Master_Data[[#This Row],[Prac. Book]]="D"),"D","U")</f>
        <v>U</v>
      </c>
      <c r="AJ24" s="149" t="str">
        <f>IF(AND(Master_Data[[#This Row],[Inst. Online Portal]]="D",Master_Data[[#This Row],[Schweser Prac. Bk 1]]="D",Master_Data[[#This Row],[Schweser Prac. Bk 2]]="D"),"D","U")</f>
        <v>U</v>
      </c>
    </row>
    <row r="25" spans="2:71" ht="29.25" customHeight="1" x14ac:dyDescent="0.3">
      <c r="B25" s="3">
        <v>17</v>
      </c>
      <c r="C25" s="175" t="str">
        <f ca="1">IF(Master_Data[[#This Row],[Column1]]="Done","",IF(Master_Data[[#This Row],[Column1]]=MIN(Master_Data[Column1]),"Current Week",CONCATENATE("Week ",Master_Data[[#This Row],[Column1]])))</f>
        <v>Week 15</v>
      </c>
      <c r="D25" s="3">
        <f ca="1">IF(Master_Data[[#This Row],[Cum. Undone hrs]]=0,"Done",ROUNDUP(Master_Data[[#This Row],[Cum. Undone hrs]]/Working!$C$8,0))</f>
        <v>15</v>
      </c>
      <c r="E25" s="3">
        <f ca="1">IF(OR(D25=D24,D25=D24+1),Master_Data[[#This Row],[Column1]],D25-1)</f>
        <v>15</v>
      </c>
      <c r="F25" s="15">
        <f>SUM($G$9:G25)</f>
        <v>3.5569444444444449</v>
      </c>
      <c r="G25" s="24">
        <f>IF(Master_Data[[#This Row],[Lectures]]="D","",Master_Data[[#This Row],[Duration (hh:mm)]])</f>
        <v>7.1527777777777787E-2</v>
      </c>
      <c r="H25" s="2" t="s">
        <v>13</v>
      </c>
      <c r="I25" s="2">
        <v>19</v>
      </c>
      <c r="J25" s="2" t="s">
        <v>115</v>
      </c>
      <c r="K25" s="42" t="s">
        <v>215</v>
      </c>
      <c r="L25" s="262">
        <v>1</v>
      </c>
      <c r="M25" s="16">
        <v>8</v>
      </c>
      <c r="N25" s="41">
        <v>2</v>
      </c>
      <c r="O25" s="41">
        <v>1</v>
      </c>
      <c r="P25" s="41">
        <v>2</v>
      </c>
      <c r="Q25" s="41">
        <v>3</v>
      </c>
      <c r="R25" s="41">
        <v>2</v>
      </c>
      <c r="S25" s="41">
        <v>3</v>
      </c>
      <c r="T25" s="13">
        <v>7.1527777777777787E-2</v>
      </c>
      <c r="U25" s="40">
        <f>(SUM($T$9:T25)/$T$4)*100</f>
        <v>44.430950728660648</v>
      </c>
      <c r="V25" s="25" t="s">
        <v>6</v>
      </c>
      <c r="W25" s="25" t="s">
        <v>6</v>
      </c>
      <c r="X25" s="25" t="s">
        <v>6</v>
      </c>
      <c r="Y25" s="25" t="s">
        <v>6</v>
      </c>
      <c r="Z25" s="25" t="s">
        <v>6</v>
      </c>
      <c r="AA25" s="25" t="s">
        <v>6</v>
      </c>
      <c r="AB25" s="25" t="s">
        <v>6</v>
      </c>
      <c r="AC25" s="25" t="s">
        <v>6</v>
      </c>
      <c r="AD25" s="153">
        <v>3</v>
      </c>
      <c r="AE25" s="17"/>
      <c r="AF25" s="168">
        <f t="shared" si="0"/>
        <v>1.2500000000000001E-2</v>
      </c>
      <c r="AG25" s="169">
        <f>Master_Data[[#This Row],[Imp. Level]]/SUMIF(Master_Data[Subject],Master_Data[[#This Row],[Subject]],Master_Data[Imp. Level])</f>
        <v>9.0909090909090912E-2</v>
      </c>
      <c r="AH25" s="151">
        <f>Master_Data[[#This Row],[Subjectwise weights]]*Master_Data[[#This Row],[Confidence Level]]</f>
        <v>0.27272727272727271</v>
      </c>
      <c r="AI25" s="152" t="str">
        <f>IF(AND(Master_Data[[#This Row],[Inst. EOC Ques.]]="D",Master_Data[[#This Row],[Prac. Book]]="D"),"D","U")</f>
        <v>U</v>
      </c>
      <c r="AJ25" s="149" t="str">
        <f>IF(AND(Master_Data[[#This Row],[Inst. Online Portal]]="D",Master_Data[[#This Row],[Schweser Prac. Bk 1]]="D",Master_Data[[#This Row],[Schweser Prac. Bk 2]]="D"),"D","U")</f>
        <v>U</v>
      </c>
    </row>
    <row r="26" spans="2:71" ht="29.25" customHeight="1" x14ac:dyDescent="0.3">
      <c r="B26" s="3">
        <v>18</v>
      </c>
      <c r="C26" s="175" t="str">
        <f ca="1">IF(Master_Data[[#This Row],[Column1]]="Done","",IF(Master_Data[[#This Row],[Column1]]=MIN(Master_Data[Column1]),"Current Week",CONCATENATE("Week ",Master_Data[[#This Row],[Column1]])))</f>
        <v>Week 15</v>
      </c>
      <c r="D26" s="3">
        <f ca="1">IF(Master_Data[[#This Row],[Cum. Undone hrs]]=0,"Done",ROUNDUP(Master_Data[[#This Row],[Cum. Undone hrs]]/Working!$C$8,0))</f>
        <v>15</v>
      </c>
      <c r="E26" s="3">
        <f ca="1">IF(OR(D26=D25,D26=D25+1),Master_Data[[#This Row],[Column1]],D26-1)</f>
        <v>15</v>
      </c>
      <c r="F26" s="15">
        <f>SUM($G$9:G26)</f>
        <v>3.6506944444444449</v>
      </c>
      <c r="G26" s="24">
        <f>IF(Master_Data[[#This Row],[Lectures]]="D","",Master_Data[[#This Row],[Duration (hh:mm)]])</f>
        <v>9.375E-2</v>
      </c>
      <c r="H26" s="2" t="s">
        <v>226</v>
      </c>
      <c r="I26" s="2">
        <v>14</v>
      </c>
      <c r="J26" s="2" t="s">
        <v>115</v>
      </c>
      <c r="K26" s="42" t="s">
        <v>190</v>
      </c>
      <c r="L26" s="262">
        <v>1</v>
      </c>
      <c r="M26" s="16">
        <v>14</v>
      </c>
      <c r="N26" s="41">
        <v>2</v>
      </c>
      <c r="O26" s="41">
        <v>2</v>
      </c>
      <c r="P26" s="41">
        <v>2</v>
      </c>
      <c r="Q26" s="41">
        <v>2</v>
      </c>
      <c r="R26" s="41">
        <v>2</v>
      </c>
      <c r="S26" s="41">
        <v>3</v>
      </c>
      <c r="T26" s="13">
        <v>9.375E-2</v>
      </c>
      <c r="U26" s="40">
        <f>(SUM($T$9:T26)/$T$4)*100</f>
        <v>45.602012491325468</v>
      </c>
      <c r="V26" s="25" t="s">
        <v>6</v>
      </c>
      <c r="W26" s="25" t="s">
        <v>6</v>
      </c>
      <c r="X26" s="25" t="s">
        <v>6</v>
      </c>
      <c r="Y26" s="25" t="s">
        <v>6</v>
      </c>
      <c r="Z26" s="25" t="s">
        <v>6</v>
      </c>
      <c r="AA26" s="25" t="s">
        <v>6</v>
      </c>
      <c r="AB26" s="25" t="s">
        <v>6</v>
      </c>
      <c r="AC26" s="25" t="s">
        <v>6</v>
      </c>
      <c r="AD26" s="153">
        <v>3</v>
      </c>
      <c r="AE26" s="17"/>
      <c r="AF26" s="168">
        <f t="shared" si="0"/>
        <v>1.2500000000000001E-2</v>
      </c>
      <c r="AG26" s="169">
        <f>Master_Data[[#This Row],[Imp. Level]]/SUMIF(Master_Data[Subject],Master_Data[[#This Row],[Subject]],Master_Data[Imp. Level])</f>
        <v>8.3333333333333329E-2</v>
      </c>
      <c r="AH26" s="151">
        <f>Master_Data[[#This Row],[Subjectwise weights]]*Master_Data[[#This Row],[Confidence Level]]</f>
        <v>0.25</v>
      </c>
      <c r="AI26" s="152" t="str">
        <f>IF(AND(Master_Data[[#This Row],[Inst. EOC Ques.]]="D",Master_Data[[#This Row],[Prac. Book]]="D"),"D","U")</f>
        <v>U</v>
      </c>
      <c r="AJ26" s="149" t="str">
        <f>IF(AND(Master_Data[[#This Row],[Inst. Online Portal]]="D",Master_Data[[#This Row],[Schweser Prac. Bk 1]]="D",Master_Data[[#This Row],[Schweser Prac. Bk 2]]="D"),"D","U")</f>
        <v>U</v>
      </c>
    </row>
    <row r="27" spans="2:71" ht="29.25" customHeight="1" x14ac:dyDescent="0.3">
      <c r="B27" s="3">
        <v>19</v>
      </c>
      <c r="C27" s="175" t="str">
        <f ca="1">IF(Master_Data[[#This Row],[Column1]]="Done","",IF(Master_Data[[#This Row],[Column1]]=MIN(Master_Data[Column1]),"Current Week",CONCATENATE("Week ",Master_Data[[#This Row],[Column1]])))</f>
        <v>Week 17</v>
      </c>
      <c r="D27" s="3">
        <f ca="1">IF(Master_Data[[#This Row],[Cum. Undone hrs]]=0,"Done",ROUNDUP(Master_Data[[#This Row],[Cum. Undone hrs]]/Working!$C$8,0))</f>
        <v>17</v>
      </c>
      <c r="E27" s="3">
        <f ca="1">IF(OR(D27=D26,D27=D26+1),Master_Data[[#This Row],[Column1]],D27-1)</f>
        <v>16</v>
      </c>
      <c r="F27" s="15">
        <f>SUM($G$9:G27)</f>
        <v>4.0194444444444448</v>
      </c>
      <c r="G27" s="24">
        <f>IF(Master_Data[[#This Row],[Lectures]]="D","",Master_Data[[#This Row],[Duration (hh:mm)]])</f>
        <v>0.36874999999999997</v>
      </c>
      <c r="H27" s="2" t="s">
        <v>9</v>
      </c>
      <c r="I27" s="2">
        <v>1</v>
      </c>
      <c r="J27" s="2" t="s">
        <v>115</v>
      </c>
      <c r="K27" s="42" t="s">
        <v>191</v>
      </c>
      <c r="L27" s="262">
        <v>1</v>
      </c>
      <c r="M27" s="16">
        <v>13</v>
      </c>
      <c r="N27" s="41">
        <v>5</v>
      </c>
      <c r="O27" s="41">
        <v>5</v>
      </c>
      <c r="P27" s="41">
        <v>5</v>
      </c>
      <c r="Q27" s="41">
        <v>5</v>
      </c>
      <c r="R27" s="41">
        <v>4</v>
      </c>
      <c r="S27" s="41">
        <v>5</v>
      </c>
      <c r="T27" s="11">
        <v>0.36874999999999997</v>
      </c>
      <c r="U27" s="40">
        <f>(SUM($T$9:T27)/$T$4)*100</f>
        <v>50.208188757807079</v>
      </c>
      <c r="V27" s="25" t="s">
        <v>6</v>
      </c>
      <c r="W27" s="25" t="s">
        <v>6</v>
      </c>
      <c r="X27" s="25" t="s">
        <v>6</v>
      </c>
      <c r="Y27" s="25" t="s">
        <v>6</v>
      </c>
      <c r="Z27" s="25" t="s">
        <v>6</v>
      </c>
      <c r="AA27" s="25" t="s">
        <v>6</v>
      </c>
      <c r="AB27" s="25" t="s">
        <v>6</v>
      </c>
      <c r="AC27" s="25" t="s">
        <v>6</v>
      </c>
      <c r="AD27" s="153">
        <v>2</v>
      </c>
      <c r="AE27" s="17"/>
      <c r="AF27" s="168">
        <f t="shared" si="0"/>
        <v>2.5000000000000001E-2</v>
      </c>
      <c r="AG27" s="169">
        <f>Master_Data[[#This Row],[Imp. Level]]/SUMIF(Master_Data[Subject],Master_Data[[#This Row],[Subject]],Master_Data[Imp. Level])</f>
        <v>0.30769230769230771</v>
      </c>
      <c r="AH27" s="151">
        <f>Master_Data[[#This Row],[Subjectwise weights]]*Master_Data[[#This Row],[Confidence Level]]</f>
        <v>0.61538461538461542</v>
      </c>
      <c r="AI27" s="152" t="str">
        <f>IF(AND(Master_Data[[#This Row],[Inst. EOC Ques.]]="D",Master_Data[[#This Row],[Prac. Book]]="D"),"D","U")</f>
        <v>U</v>
      </c>
      <c r="AJ27" s="149" t="str">
        <f>IF(AND(Master_Data[[#This Row],[Inst. Online Portal]]="D",Master_Data[[#This Row],[Schweser Prac. Bk 1]]="D",Master_Data[[#This Row],[Schweser Prac. Bk 2]]="D"),"D","U")</f>
        <v>U</v>
      </c>
    </row>
    <row r="28" spans="2:71" ht="29.25" customHeight="1" x14ac:dyDescent="0.3">
      <c r="B28" s="3">
        <v>20</v>
      </c>
      <c r="C28" s="175" t="str">
        <f ca="1">IF(Master_Data[[#This Row],[Column1]]="Done","",IF(Master_Data[[#This Row],[Column1]]=MIN(Master_Data[Column1]),"Current Week",CONCATENATE("Week ",Master_Data[[#This Row],[Column1]])))</f>
        <v>Week 17</v>
      </c>
      <c r="D28" s="3">
        <f ca="1">IF(Master_Data[[#This Row],[Cum. Undone hrs]]=0,"Done",ROUNDUP(Master_Data[[#This Row],[Cum. Undone hrs]]/Working!$C$8,0))</f>
        <v>17</v>
      </c>
      <c r="E28" s="3">
        <f ca="1">IF(OR(D28=D27,D28=D27+1),Master_Data[[#This Row],[Column1]],D28-1)</f>
        <v>17</v>
      </c>
      <c r="F28" s="15">
        <f>SUM($G$9:G28)</f>
        <v>4.2201388888888891</v>
      </c>
      <c r="G28" s="24">
        <f>IF(Master_Data[[#This Row],[Lectures]]="D","",Master_Data[[#This Row],[Duration (hh:mm)]])</f>
        <v>0.20069444444444443</v>
      </c>
      <c r="H28" s="2" t="s">
        <v>9</v>
      </c>
      <c r="I28" s="2">
        <v>2</v>
      </c>
      <c r="J28" s="2" t="s">
        <v>115</v>
      </c>
      <c r="K28" s="42" t="s">
        <v>192</v>
      </c>
      <c r="L28" s="262">
        <v>1</v>
      </c>
      <c r="M28" s="16">
        <v>15</v>
      </c>
      <c r="N28" s="41">
        <v>4</v>
      </c>
      <c r="O28" s="41">
        <v>5</v>
      </c>
      <c r="P28" s="41">
        <v>5</v>
      </c>
      <c r="Q28" s="41">
        <v>5</v>
      </c>
      <c r="R28" s="41">
        <v>4</v>
      </c>
      <c r="S28" s="41">
        <v>5</v>
      </c>
      <c r="T28" s="11">
        <v>0.20069444444444443</v>
      </c>
      <c r="U28" s="40">
        <f>(SUM($T$9:T28)/$T$4)*100</f>
        <v>52.715128383067309</v>
      </c>
      <c r="V28" s="25" t="s">
        <v>6</v>
      </c>
      <c r="W28" s="25" t="s">
        <v>6</v>
      </c>
      <c r="X28" s="25" t="s">
        <v>6</v>
      </c>
      <c r="Y28" s="25" t="s">
        <v>6</v>
      </c>
      <c r="Z28" s="25" t="s">
        <v>6</v>
      </c>
      <c r="AA28" s="25" t="s">
        <v>6</v>
      </c>
      <c r="AB28" s="25" t="s">
        <v>6</v>
      </c>
      <c r="AC28" s="25" t="s">
        <v>6</v>
      </c>
      <c r="AD28" s="153">
        <v>2</v>
      </c>
      <c r="AE28" s="17"/>
      <c r="AF28" s="168">
        <f t="shared" si="0"/>
        <v>2.5000000000000001E-2</v>
      </c>
      <c r="AG28" s="170">
        <f>Master_Data[[#This Row],[Imp. Level]]/SUMIF(Master_Data[Subject],Master_Data[[#This Row],[Subject]],Master_Data[Imp. Level])</f>
        <v>0.30769230769230771</v>
      </c>
      <c r="AH28" s="171">
        <f>Master_Data[[#This Row],[Subjectwise weights]]*Master_Data[[#This Row],[Confidence Level]]</f>
        <v>0.61538461538461542</v>
      </c>
      <c r="AI28" s="149" t="str">
        <f>IF(AND(Master_Data[[#This Row],[Inst. EOC Ques.]]="D",Master_Data[[#This Row],[Prac. Book]]="D"),"D","U")</f>
        <v>U</v>
      </c>
      <c r="AJ28" s="149" t="str">
        <f>IF(AND(Master_Data[[#This Row],[Inst. Online Portal]]="D",Master_Data[[#This Row],[Schweser Prac. Bk 1]]="D",Master_Data[[#This Row],[Schweser Prac. Bk 2]]="D"),"D","U")</f>
        <v>U</v>
      </c>
    </row>
    <row r="29" spans="2:71" ht="29.25" customHeight="1" x14ac:dyDescent="0.3">
      <c r="B29" s="3">
        <v>21</v>
      </c>
      <c r="C29" s="175" t="str">
        <f ca="1">IF(Master_Data[[#This Row],[Column1]]="Done","",IF(Master_Data[[#This Row],[Column1]]=MIN(Master_Data[Column1]),"Current Week",CONCATENATE("Week ",Master_Data[[#This Row],[Column1]])))</f>
        <v>Week 18</v>
      </c>
      <c r="D29" s="3">
        <f ca="1">IF(Master_Data[[#This Row],[Cum. Undone hrs]]=0,"Done",ROUNDUP(Master_Data[[#This Row],[Cum. Undone hrs]]/Working!$C$8,0))</f>
        <v>18</v>
      </c>
      <c r="E29" s="3">
        <f ca="1">IF(OR(D29=D28,D29=D28+1),Master_Data[[#This Row],[Column1]],D29-1)</f>
        <v>18</v>
      </c>
      <c r="F29" s="15">
        <f>SUM($G$9:G29)</f>
        <v>4.3986111111111112</v>
      </c>
      <c r="G29" s="24">
        <f>IF(Master_Data[[#This Row],[Lectures]]="D","",Master_Data[[#This Row],[Duration (hh:mm)]])</f>
        <v>0.17847222222222223</v>
      </c>
      <c r="H29" s="2" t="s">
        <v>9</v>
      </c>
      <c r="I29" s="2">
        <v>3</v>
      </c>
      <c r="J29" s="2" t="s">
        <v>115</v>
      </c>
      <c r="K29" s="42" t="s">
        <v>193</v>
      </c>
      <c r="L29" s="262">
        <v>1</v>
      </c>
      <c r="M29" s="16">
        <v>5</v>
      </c>
      <c r="N29" s="41">
        <v>3</v>
      </c>
      <c r="O29" s="41">
        <v>1</v>
      </c>
      <c r="P29" s="41">
        <v>4</v>
      </c>
      <c r="Q29" s="41">
        <v>4</v>
      </c>
      <c r="R29" s="41">
        <v>3</v>
      </c>
      <c r="S29" s="41">
        <v>3</v>
      </c>
      <c r="T29" s="13">
        <v>0.17847222222222223</v>
      </c>
      <c r="U29" s="40">
        <f>(SUM($T$9:T29)/$T$4)*100</f>
        <v>54.944482997918108</v>
      </c>
      <c r="V29" s="25" t="s">
        <v>6</v>
      </c>
      <c r="W29" s="25" t="s">
        <v>6</v>
      </c>
      <c r="X29" s="25" t="s">
        <v>6</v>
      </c>
      <c r="Y29" s="25" t="s">
        <v>6</v>
      </c>
      <c r="Z29" s="25" t="s">
        <v>6</v>
      </c>
      <c r="AA29" s="25" t="s">
        <v>6</v>
      </c>
      <c r="AB29" s="25" t="s">
        <v>6</v>
      </c>
      <c r="AC29" s="25" t="s">
        <v>6</v>
      </c>
      <c r="AD29" s="153">
        <v>2</v>
      </c>
      <c r="AE29" s="17"/>
      <c r="AF29" s="168">
        <f t="shared" si="0"/>
        <v>1.8749999999999999E-2</v>
      </c>
      <c r="AG29" s="169">
        <f>Master_Data[[#This Row],[Imp. Level]]/SUMIF(Master_Data[Subject],Master_Data[[#This Row],[Subject]],Master_Data[Imp. Level])</f>
        <v>0.23076923076923078</v>
      </c>
      <c r="AH29" s="151">
        <f>Master_Data[[#This Row],[Subjectwise weights]]*Master_Data[[#This Row],[Confidence Level]]</f>
        <v>0.46153846153846156</v>
      </c>
      <c r="AI29" s="152" t="str">
        <f>IF(AND(Master_Data[[#This Row],[Inst. EOC Ques.]]="D",Master_Data[[#This Row],[Prac. Book]]="D"),"D","U")</f>
        <v>U</v>
      </c>
      <c r="AJ29" s="149" t="str">
        <f>IF(AND(Master_Data[[#This Row],[Inst. Online Portal]]="D",Master_Data[[#This Row],[Schweser Prac. Bk 1]]="D",Master_Data[[#This Row],[Schweser Prac. Bk 2]]="D"),"D","U")</f>
        <v>U</v>
      </c>
    </row>
    <row r="30" spans="2:71" ht="29.25" customHeight="1" x14ac:dyDescent="0.3">
      <c r="B30" s="3">
        <v>22</v>
      </c>
      <c r="C30" s="175" t="str">
        <f ca="1">IF(Master_Data[[#This Row],[Column1]]="Done","",IF(Master_Data[[#This Row],[Column1]]=MIN(Master_Data[Column1]),"Current Week",CONCATENATE("Week ",Master_Data[[#This Row],[Column1]])))</f>
        <v>Week 19</v>
      </c>
      <c r="D30" s="3">
        <f ca="1">IF(Master_Data[[#This Row],[Cum. Undone hrs]]=0,"Done",ROUNDUP(Master_Data[[#This Row],[Cum. Undone hrs]]/Working!$C$8,0))</f>
        <v>19</v>
      </c>
      <c r="E30" s="3">
        <f ca="1">IF(OR(D30=D29,D30=D29+1),Master_Data[[#This Row],[Column1]],D30-1)</f>
        <v>19</v>
      </c>
      <c r="F30" s="15">
        <f>SUM($G$9:G30)</f>
        <v>4.5597222222222227</v>
      </c>
      <c r="G30" s="24">
        <f>IF(Master_Data[[#This Row],[Lectures]]="D","",Master_Data[[#This Row],[Duration (hh:mm)]])</f>
        <v>0.16111111111111112</v>
      </c>
      <c r="H30" s="2" t="s">
        <v>9</v>
      </c>
      <c r="I30" s="2">
        <v>4</v>
      </c>
      <c r="J30" s="2" t="s">
        <v>115</v>
      </c>
      <c r="K30" s="42" t="s">
        <v>194</v>
      </c>
      <c r="L30" s="262">
        <v>1</v>
      </c>
      <c r="M30" s="16">
        <v>7</v>
      </c>
      <c r="N30" s="41">
        <v>3</v>
      </c>
      <c r="O30" s="41">
        <v>2</v>
      </c>
      <c r="P30" s="41">
        <v>4</v>
      </c>
      <c r="Q30" s="41">
        <v>4</v>
      </c>
      <c r="R30" s="41">
        <v>2</v>
      </c>
      <c r="S30" s="41">
        <v>3</v>
      </c>
      <c r="T30" s="13">
        <v>0.16111111111111112</v>
      </c>
      <c r="U30" s="40">
        <f>(SUM($T$9:T30)/$T$4)*100</f>
        <v>56.956974323386532</v>
      </c>
      <c r="V30" s="25" t="s">
        <v>6</v>
      </c>
      <c r="W30" s="25" t="s">
        <v>6</v>
      </c>
      <c r="X30" s="25" t="s">
        <v>6</v>
      </c>
      <c r="Y30" s="25" t="s">
        <v>6</v>
      </c>
      <c r="Z30" s="25" t="s">
        <v>6</v>
      </c>
      <c r="AA30" s="25" t="s">
        <v>6</v>
      </c>
      <c r="AB30" s="25" t="s">
        <v>6</v>
      </c>
      <c r="AC30" s="25" t="s">
        <v>6</v>
      </c>
      <c r="AD30" s="153">
        <v>3</v>
      </c>
      <c r="AE30" s="17"/>
      <c r="AF30" s="168">
        <f t="shared" si="0"/>
        <v>1.2500000000000001E-2</v>
      </c>
      <c r="AG30" s="169">
        <f>Master_Data[[#This Row],[Imp. Level]]/SUMIF(Master_Data[Subject],Master_Data[[#This Row],[Subject]],Master_Data[Imp. Level])</f>
        <v>0.15384615384615385</v>
      </c>
      <c r="AH30" s="151">
        <f>Master_Data[[#This Row],[Subjectwise weights]]*Master_Data[[#This Row],[Confidence Level]]</f>
        <v>0.46153846153846156</v>
      </c>
      <c r="AI30" s="152" t="str">
        <f>IF(AND(Master_Data[[#This Row],[Inst. EOC Ques.]]="D",Master_Data[[#This Row],[Prac. Book]]="D"),"D","U")</f>
        <v>U</v>
      </c>
      <c r="AJ30" s="149" t="str">
        <f>IF(AND(Master_Data[[#This Row],[Inst. Online Portal]]="D",Master_Data[[#This Row],[Schweser Prac. Bk 1]]="D",Master_Data[[#This Row],[Schweser Prac. Bk 2]]="D"),"D","U")</f>
        <v>U</v>
      </c>
    </row>
    <row r="31" spans="2:71" ht="29.25" customHeight="1" x14ac:dyDescent="0.3">
      <c r="B31" s="3">
        <v>23</v>
      </c>
      <c r="C31" s="175" t="str">
        <f ca="1">IF(Master_Data[[#This Row],[Column1]]="Done","",IF(Master_Data[[#This Row],[Column1]]=MIN(Master_Data[Column1]),"Current Week",CONCATENATE("Week ",Master_Data[[#This Row],[Column1]])))</f>
        <v>Week 20</v>
      </c>
      <c r="D31" s="3">
        <f ca="1">IF(Master_Data[[#This Row],[Cum. Undone hrs]]=0,"Done",ROUNDUP(Master_Data[[#This Row],[Cum. Undone hrs]]/Working!$C$8,0))</f>
        <v>20</v>
      </c>
      <c r="E31" s="3">
        <f ca="1">IF(OR(D31=D30,D31=D30+1),Master_Data[[#This Row],[Column1]],D31-1)</f>
        <v>20</v>
      </c>
      <c r="F31" s="15">
        <f>SUM($G$9:G31)</f>
        <v>4.771527777777778</v>
      </c>
      <c r="G31" s="24">
        <f>IF(Master_Data[[#This Row],[Lectures]]="D","",Master_Data[[#This Row],[Duration (hh:mm)]])</f>
        <v>0.21180555555555555</v>
      </c>
      <c r="H31" s="2" t="s">
        <v>10</v>
      </c>
      <c r="I31" s="2" t="s">
        <v>223</v>
      </c>
      <c r="J31" s="2" t="s">
        <v>115</v>
      </c>
      <c r="K31" s="42" t="s">
        <v>222</v>
      </c>
      <c r="L31" s="262">
        <v>2</v>
      </c>
      <c r="M31" s="16">
        <v>2</v>
      </c>
      <c r="N31" s="41">
        <v>3</v>
      </c>
      <c r="O31" s="41">
        <v>1</v>
      </c>
      <c r="P31" s="41">
        <v>3</v>
      </c>
      <c r="Q31" s="41">
        <v>5</v>
      </c>
      <c r="R31" s="41">
        <v>5</v>
      </c>
      <c r="S31" s="41">
        <v>5</v>
      </c>
      <c r="T31" s="13">
        <v>0.21180555555555555</v>
      </c>
      <c r="U31" s="40">
        <f>(SUM($T$9:T31)/$T$4)*100</f>
        <v>59.602706453851482</v>
      </c>
      <c r="V31" s="25" t="s">
        <v>6</v>
      </c>
      <c r="W31" s="25" t="s">
        <v>6</v>
      </c>
      <c r="X31" s="25" t="s">
        <v>6</v>
      </c>
      <c r="Y31" s="25" t="s">
        <v>6</v>
      </c>
      <c r="Z31" s="25" t="s">
        <v>6</v>
      </c>
      <c r="AA31" s="25" t="s">
        <v>6</v>
      </c>
      <c r="AB31" s="25" t="s">
        <v>6</v>
      </c>
      <c r="AC31" s="25" t="s">
        <v>6</v>
      </c>
      <c r="AD31" s="153">
        <v>2</v>
      </c>
      <c r="AE31" s="17"/>
      <c r="AF31" s="168">
        <f t="shared" si="0"/>
        <v>3.125E-2</v>
      </c>
      <c r="AG31" s="169">
        <f>Master_Data[[#This Row],[Imp. Level]]/SUMIF(Master_Data[Subject],Master_Data[[#This Row],[Subject]],Master_Data[Imp. Level])</f>
        <v>0.5</v>
      </c>
      <c r="AH31" s="151">
        <f>Master_Data[[#This Row],[Subjectwise weights]]*Master_Data[[#This Row],[Confidence Level]]</f>
        <v>1</v>
      </c>
      <c r="AI31" s="152" t="str">
        <f>IF(AND(Master_Data[[#This Row],[Inst. EOC Ques.]]="D",Master_Data[[#This Row],[Prac. Book]]="D"),"D","U")</f>
        <v>U</v>
      </c>
      <c r="AJ31" s="149" t="str">
        <f>IF(AND(Master_Data[[#This Row],[Inst. Online Portal]]="D",Master_Data[[#This Row],[Schweser Prac. Bk 1]]="D",Master_Data[[#This Row],[Schweser Prac. Bk 2]]="D"),"D","U")</f>
        <v>U</v>
      </c>
    </row>
    <row r="32" spans="2:71" ht="29.25" customHeight="1" x14ac:dyDescent="0.3">
      <c r="B32" s="3">
        <v>24</v>
      </c>
      <c r="C32" s="175" t="str">
        <f ca="1">IF(Master_Data[[#This Row],[Column1]]="Done","",IF(Master_Data[[#This Row],[Column1]]=MIN(Master_Data[Column1]),"Current Week",CONCATENATE("Week ",Master_Data[[#This Row],[Column1]])))</f>
        <v>Week 20</v>
      </c>
      <c r="D32" s="3">
        <f ca="1">IF(Master_Data[[#This Row],[Cum. Undone hrs]]=0,"Done",ROUNDUP(Master_Data[[#This Row],[Cum. Undone hrs]]/Working!$C$8,0))</f>
        <v>20</v>
      </c>
      <c r="E32" s="3">
        <f ca="1">IF(OR(D32=D31,D32=D31+1),Master_Data[[#This Row],[Column1]],D32-1)</f>
        <v>20</v>
      </c>
      <c r="F32" s="15">
        <f>SUM($G$9:G32)</f>
        <v>4.7965277777777784</v>
      </c>
      <c r="G32" s="24">
        <f>IF(Master_Data[[#This Row],[Lectures]]="D","",Master_Data[[#This Row],[Duration (hh:mm)]])</f>
        <v>2.4999999999999998E-2</v>
      </c>
      <c r="H32" s="2" t="s">
        <v>10</v>
      </c>
      <c r="I32" s="2">
        <v>43</v>
      </c>
      <c r="J32" s="2" t="s">
        <v>115</v>
      </c>
      <c r="K32" s="42" t="s">
        <v>217</v>
      </c>
      <c r="L32" s="262">
        <v>1</v>
      </c>
      <c r="M32" s="16">
        <v>2</v>
      </c>
      <c r="N32" s="41">
        <v>3</v>
      </c>
      <c r="O32" s="41">
        <v>1</v>
      </c>
      <c r="P32" s="41">
        <v>3</v>
      </c>
      <c r="Q32" s="41">
        <v>5</v>
      </c>
      <c r="R32" s="41">
        <v>5</v>
      </c>
      <c r="S32" s="41">
        <v>5</v>
      </c>
      <c r="T32" s="13">
        <v>2.4999999999999998E-2</v>
      </c>
      <c r="U32" s="40">
        <f>(SUM($T$9:T32)/$T$4)*100</f>
        <v>59.914989590562108</v>
      </c>
      <c r="V32" s="25" t="s">
        <v>6</v>
      </c>
      <c r="W32" s="25" t="s">
        <v>6</v>
      </c>
      <c r="X32" s="25" t="s">
        <v>6</v>
      </c>
      <c r="Y32" s="25" t="s">
        <v>6</v>
      </c>
      <c r="Z32" s="25" t="s">
        <v>6</v>
      </c>
      <c r="AA32" s="25" t="s">
        <v>6</v>
      </c>
      <c r="AB32" s="25" t="s">
        <v>6</v>
      </c>
      <c r="AC32" s="25" t="s">
        <v>6</v>
      </c>
      <c r="AD32" s="153">
        <v>2</v>
      </c>
      <c r="AE32" s="17"/>
      <c r="AF32" s="168">
        <f t="shared" si="0"/>
        <v>3.125E-2</v>
      </c>
      <c r="AG32" s="169">
        <f>Master_Data[[#This Row],[Imp. Level]]/SUMIF(Master_Data[Subject],Master_Data[[#This Row],[Subject]],Master_Data[Imp. Level])</f>
        <v>0.5</v>
      </c>
      <c r="AH32" s="151">
        <f>Master_Data[[#This Row],[Subjectwise weights]]*Master_Data[[#This Row],[Confidence Level]]</f>
        <v>1</v>
      </c>
      <c r="AI32" s="152" t="str">
        <f>IF(AND(Master_Data[[#This Row],[Inst. EOC Ques.]]="D",Master_Data[[#This Row],[Prac. Book]]="D"),"D","U")</f>
        <v>U</v>
      </c>
      <c r="AJ32" s="149" t="str">
        <f>IF(AND(Master_Data[[#This Row],[Inst. Online Portal]]="D",Master_Data[[#This Row],[Schweser Prac. Bk 1]]="D",Master_Data[[#This Row],[Schweser Prac. Bk 2]]="D"),"D","U")</f>
        <v>U</v>
      </c>
    </row>
    <row r="33" spans="2:36" ht="29.25" customHeight="1" x14ac:dyDescent="0.3">
      <c r="B33" s="3">
        <v>25</v>
      </c>
      <c r="C33" s="175" t="str">
        <f ca="1">IF(Master_Data[[#This Row],[Column1]]="Done","",IF(Master_Data[[#This Row],[Column1]]=MIN(Master_Data[Column1]),"Current Week",CONCATENATE("Week ",Master_Data[[#This Row],[Column1]])))</f>
        <v>Week 21</v>
      </c>
      <c r="D33" s="3">
        <f ca="1">IF(Master_Data[[#This Row],[Cum. Undone hrs]]=0,"Done",ROUNDUP(Master_Data[[#This Row],[Cum. Undone hrs]]/Working!$C$8,0))</f>
        <v>21</v>
      </c>
      <c r="E33" s="3">
        <f ca="1">IF(OR(D33=D32,D33=D32+1),Master_Data[[#This Row],[Column1]],D33-1)</f>
        <v>21</v>
      </c>
      <c r="F33" s="15">
        <f>SUM($G$9:G33)</f>
        <v>5.1069444444444452</v>
      </c>
      <c r="G33" s="24">
        <f>IF(Master_Data[[#This Row],[Lectures]]="D","",Master_Data[[#This Row],[Duration (hh:mm)]])</f>
        <v>0.31041666666666667</v>
      </c>
      <c r="H33" s="2" t="s">
        <v>11</v>
      </c>
      <c r="I33" s="2">
        <v>5</v>
      </c>
      <c r="J33" s="2" t="s">
        <v>115</v>
      </c>
      <c r="K33" s="42" t="s">
        <v>214</v>
      </c>
      <c r="L33" s="262">
        <v>1</v>
      </c>
      <c r="M33" s="16">
        <v>13</v>
      </c>
      <c r="N33" s="41">
        <v>5</v>
      </c>
      <c r="O33" s="41">
        <v>4</v>
      </c>
      <c r="P33" s="41">
        <v>5</v>
      </c>
      <c r="Q33" s="41">
        <v>5</v>
      </c>
      <c r="R33" s="41">
        <v>5</v>
      </c>
      <c r="S33" s="41">
        <v>5</v>
      </c>
      <c r="T33" s="12">
        <v>0.31041666666666667</v>
      </c>
      <c r="U33" s="40">
        <f>(SUM($T$9:T33)/$T$4)*100</f>
        <v>63.79250520471895</v>
      </c>
      <c r="V33" s="25" t="s">
        <v>6</v>
      </c>
      <c r="W33" s="25" t="s">
        <v>6</v>
      </c>
      <c r="X33" s="25" t="s">
        <v>6</v>
      </c>
      <c r="Y33" s="25" t="s">
        <v>6</v>
      </c>
      <c r="Z33" s="25" t="s">
        <v>6</v>
      </c>
      <c r="AA33" s="25" t="s">
        <v>6</v>
      </c>
      <c r="AB33" s="25" t="s">
        <v>6</v>
      </c>
      <c r="AC33" s="25" t="s">
        <v>6</v>
      </c>
      <c r="AD33" s="153">
        <v>3</v>
      </c>
      <c r="AE33" s="17"/>
      <c r="AF33" s="168">
        <f t="shared" si="0"/>
        <v>3.125E-2</v>
      </c>
      <c r="AG33" s="169">
        <f>Master_Data[[#This Row],[Imp. Level]]/SUMIF(Master_Data[Subject],Master_Data[[#This Row],[Subject]],Master_Data[Imp. Level])</f>
        <v>0.45454545454545453</v>
      </c>
      <c r="AH33" s="151">
        <f>Master_Data[[#This Row],[Subjectwise weights]]*Master_Data[[#This Row],[Confidence Level]]</f>
        <v>1.3636363636363635</v>
      </c>
      <c r="AI33" s="152" t="str">
        <f>IF(AND(Master_Data[[#This Row],[Inst. EOC Ques.]]="D",Master_Data[[#This Row],[Prac. Book]]="D"),"D","U")</f>
        <v>U</v>
      </c>
      <c r="AJ33" s="149" t="str">
        <f>IF(AND(Master_Data[[#This Row],[Inst. Online Portal]]="D",Master_Data[[#This Row],[Schweser Prac. Bk 1]]="D",Master_Data[[#This Row],[Schweser Prac. Bk 2]]="D"),"D","U")</f>
        <v>U</v>
      </c>
    </row>
    <row r="34" spans="2:36" ht="29.25" customHeight="1" x14ac:dyDescent="0.3">
      <c r="B34" s="3">
        <v>26</v>
      </c>
      <c r="C34" s="175" t="str">
        <f ca="1">IF(Master_Data[[#This Row],[Column1]]="Done","",IF(Master_Data[[#This Row],[Column1]]=MIN(Master_Data[Column1]),"Current Week",CONCATENATE("Week ",Master_Data[[#This Row],[Column1]])))</f>
        <v>Week 22</v>
      </c>
      <c r="D34" s="3">
        <f ca="1">IF(Master_Data[[#This Row],[Cum. Undone hrs]]=0,"Done",ROUNDUP(Master_Data[[#This Row],[Cum. Undone hrs]]/Working!$C$8,0))</f>
        <v>22</v>
      </c>
      <c r="E34" s="3">
        <f ca="1">IF(OR(D34=D33,D34=D33+1),Master_Data[[#This Row],[Column1]],D34-1)</f>
        <v>22</v>
      </c>
      <c r="F34" s="15">
        <f>SUM($G$9:G34)</f>
        <v>5.2305555555555561</v>
      </c>
      <c r="G34" s="24">
        <f>IF(Master_Data[[#This Row],[Lectures]]="D","",Master_Data[[#This Row],[Duration (hh:mm)]])</f>
        <v>0.12361111111111112</v>
      </c>
      <c r="H34" s="2" t="s">
        <v>11</v>
      </c>
      <c r="I34" s="2">
        <v>6</v>
      </c>
      <c r="J34" s="2" t="s">
        <v>115</v>
      </c>
      <c r="K34" s="42" t="s">
        <v>195</v>
      </c>
      <c r="L34" s="262">
        <v>1</v>
      </c>
      <c r="M34" s="16">
        <v>12</v>
      </c>
      <c r="N34" s="41">
        <v>3</v>
      </c>
      <c r="O34" s="41">
        <v>2</v>
      </c>
      <c r="P34" s="41">
        <v>3</v>
      </c>
      <c r="Q34" s="41">
        <v>4</v>
      </c>
      <c r="R34" s="41">
        <v>4</v>
      </c>
      <c r="S34" s="41">
        <v>4</v>
      </c>
      <c r="T34" s="11">
        <v>0.12361111111111112</v>
      </c>
      <c r="U34" s="40">
        <f>(SUM($T$9:T34)/$T$4)*100</f>
        <v>65.336571825121453</v>
      </c>
      <c r="V34" s="25" t="s">
        <v>6</v>
      </c>
      <c r="W34" s="25" t="s">
        <v>6</v>
      </c>
      <c r="X34" s="25" t="s">
        <v>6</v>
      </c>
      <c r="Y34" s="25" t="s">
        <v>6</v>
      </c>
      <c r="Z34" s="25" t="s">
        <v>6</v>
      </c>
      <c r="AA34" s="25" t="s">
        <v>6</v>
      </c>
      <c r="AB34" s="25" t="s">
        <v>6</v>
      </c>
      <c r="AC34" s="25" t="s">
        <v>6</v>
      </c>
      <c r="AD34" s="153">
        <v>2</v>
      </c>
      <c r="AE34" s="17"/>
      <c r="AF34" s="168">
        <f t="shared" si="0"/>
        <v>2.5000000000000001E-2</v>
      </c>
      <c r="AG34" s="169">
        <f>Master_Data[[#This Row],[Imp. Level]]/SUMIF(Master_Data[Subject],Master_Data[[#This Row],[Subject]],Master_Data[Imp. Level])</f>
        <v>0.36363636363636365</v>
      </c>
      <c r="AH34" s="151">
        <f>Master_Data[[#This Row],[Subjectwise weights]]*Master_Data[[#This Row],[Confidence Level]]</f>
        <v>0.72727272727272729</v>
      </c>
      <c r="AI34" s="152" t="str">
        <f>IF(AND(Master_Data[[#This Row],[Inst. EOC Ques.]]="D",Master_Data[[#This Row],[Prac. Book]]="D"),"D","U")</f>
        <v>U</v>
      </c>
      <c r="AJ34" s="149" t="str">
        <f>IF(AND(Master_Data[[#This Row],[Inst. Online Portal]]="D",Master_Data[[#This Row],[Schweser Prac. Bk 1]]="D",Master_Data[[#This Row],[Schweser Prac. Bk 2]]="D"),"D","U")</f>
        <v>U</v>
      </c>
    </row>
    <row r="35" spans="2:36" ht="29.25" customHeight="1" x14ac:dyDescent="0.3">
      <c r="B35" s="3">
        <v>27</v>
      </c>
      <c r="C35" s="175" t="str">
        <f ca="1">IF(Master_Data[[#This Row],[Column1]]="Done","",IF(Master_Data[[#This Row],[Column1]]=MIN(Master_Data[Column1]),"Current Week",CONCATENATE("Week ",Master_Data[[#This Row],[Column1]])))</f>
        <v>Week 22</v>
      </c>
      <c r="D35" s="3">
        <f ca="1">IF(Master_Data[[#This Row],[Cum. Undone hrs]]=0,"Done",ROUNDUP(Master_Data[[#This Row],[Cum. Undone hrs]]/Working!$C$8,0))</f>
        <v>22</v>
      </c>
      <c r="E35" s="3">
        <f ca="1">IF(OR(D35=D34,D35=D34+1),Master_Data[[#This Row],[Column1]],D35-1)</f>
        <v>22</v>
      </c>
      <c r="F35" s="15">
        <f>SUM($G$9:G35)</f>
        <v>5.3055555555555562</v>
      </c>
      <c r="G35" s="24">
        <f>IF(Master_Data[[#This Row],[Lectures]]="D","",Master_Data[[#This Row],[Duration (hh:mm)]])</f>
        <v>7.4999999999999997E-2</v>
      </c>
      <c r="H35" s="2" t="s">
        <v>11</v>
      </c>
      <c r="I35" s="2">
        <v>7</v>
      </c>
      <c r="J35" s="2" t="s">
        <v>115</v>
      </c>
      <c r="K35" s="42" t="s">
        <v>196</v>
      </c>
      <c r="L35" s="262">
        <v>1</v>
      </c>
      <c r="M35" s="16">
        <v>9</v>
      </c>
      <c r="N35" s="41">
        <v>2</v>
      </c>
      <c r="O35" s="41">
        <v>1</v>
      </c>
      <c r="P35" s="41">
        <v>2</v>
      </c>
      <c r="Q35" s="41">
        <v>4</v>
      </c>
      <c r="R35" s="41">
        <v>2</v>
      </c>
      <c r="S35" s="41">
        <v>5</v>
      </c>
      <c r="T35" s="12">
        <v>7.4999999999999997E-2</v>
      </c>
      <c r="U35" s="40">
        <f>(SUM($T$9:T35)/$T$4)*100</f>
        <v>66.273421235253295</v>
      </c>
      <c r="V35" s="25" t="s">
        <v>6</v>
      </c>
      <c r="W35" s="25" t="s">
        <v>6</v>
      </c>
      <c r="X35" s="25" t="s">
        <v>6</v>
      </c>
      <c r="Y35" s="25" t="s">
        <v>6</v>
      </c>
      <c r="Z35" s="25" t="s">
        <v>6</v>
      </c>
      <c r="AA35" s="25" t="s">
        <v>6</v>
      </c>
      <c r="AB35" s="25" t="s">
        <v>6</v>
      </c>
      <c r="AC35" s="25" t="s">
        <v>6</v>
      </c>
      <c r="AD35" s="153">
        <v>2</v>
      </c>
      <c r="AE35" s="17"/>
      <c r="AF35" s="168">
        <f t="shared" si="0"/>
        <v>1.2500000000000001E-2</v>
      </c>
      <c r="AG35" s="169">
        <f>Master_Data[[#This Row],[Imp. Level]]/SUMIF(Master_Data[Subject],Master_Data[[#This Row],[Subject]],Master_Data[Imp. Level])</f>
        <v>0.18181818181818182</v>
      </c>
      <c r="AH35" s="151">
        <f>Master_Data[[#This Row],[Subjectwise weights]]*Master_Data[[#This Row],[Confidence Level]]</f>
        <v>0.36363636363636365</v>
      </c>
      <c r="AI35" s="152" t="str">
        <f>IF(AND(Master_Data[[#This Row],[Inst. EOC Ques.]]="D",Master_Data[[#This Row],[Prac. Book]]="D"),"D","U")</f>
        <v>U</v>
      </c>
      <c r="AJ35" s="149" t="str">
        <f>IF(AND(Master_Data[[#This Row],[Inst. Online Portal]]="D",Master_Data[[#This Row],[Schweser Prac. Bk 1]]="D",Master_Data[[#This Row],[Schweser Prac. Bk 2]]="D"),"D","U")</f>
        <v>U</v>
      </c>
    </row>
    <row r="36" spans="2:36" ht="29.25" customHeight="1" x14ac:dyDescent="0.3">
      <c r="B36" s="3">
        <v>28</v>
      </c>
      <c r="C36" s="175" t="str">
        <f ca="1">IF(Master_Data[[#This Row],[Column1]]="Done","",IF(Master_Data[[#This Row],[Column1]]=MIN(Master_Data[Column1]),"Current Week",CONCATENATE("Week ",Master_Data[[#This Row],[Column1]])))</f>
        <v>Week 23</v>
      </c>
      <c r="D36" s="3">
        <f ca="1">IF(Master_Data[[#This Row],[Cum. Undone hrs]]=0,"Done",ROUNDUP(Master_Data[[#This Row],[Cum. Undone hrs]]/Working!$C$8,0))</f>
        <v>23</v>
      </c>
      <c r="E36" s="3">
        <f ca="1">IF(OR(D36=D35,D36=D35+1),Master_Data[[#This Row],[Column1]],D36-1)</f>
        <v>23</v>
      </c>
      <c r="F36" s="15">
        <f>SUM($G$9:G36)</f>
        <v>5.6090277777777784</v>
      </c>
      <c r="G36" s="24">
        <f>IF(Master_Data[[#This Row],[Lectures]]="D","",Master_Data[[#This Row],[Duration (hh:mm)]])</f>
        <v>0.3034722222222222</v>
      </c>
      <c r="H36" s="2" t="s">
        <v>14</v>
      </c>
      <c r="I36" s="2">
        <v>25</v>
      </c>
      <c r="J36" s="2" t="s">
        <v>115</v>
      </c>
      <c r="K36" s="42" t="s">
        <v>197</v>
      </c>
      <c r="L36" s="262">
        <v>1</v>
      </c>
      <c r="M36" s="16">
        <v>11</v>
      </c>
      <c r="N36" s="41">
        <v>4</v>
      </c>
      <c r="O36" s="41">
        <v>4</v>
      </c>
      <c r="P36" s="41">
        <v>5</v>
      </c>
      <c r="Q36" s="41">
        <v>5</v>
      </c>
      <c r="R36" s="41">
        <v>5</v>
      </c>
      <c r="S36" s="41">
        <v>5</v>
      </c>
      <c r="T36" s="13">
        <v>0.3034722222222222</v>
      </c>
      <c r="U36" s="40">
        <f>(SUM($T$9:T36)/$T$4)*100</f>
        <v>70.06419153365718</v>
      </c>
      <c r="V36" s="25" t="s">
        <v>6</v>
      </c>
      <c r="W36" s="25" t="s">
        <v>6</v>
      </c>
      <c r="X36" s="25" t="s">
        <v>6</v>
      </c>
      <c r="Y36" s="25" t="s">
        <v>6</v>
      </c>
      <c r="Z36" s="25" t="s">
        <v>6</v>
      </c>
      <c r="AA36" s="25" t="s">
        <v>6</v>
      </c>
      <c r="AB36" s="25" t="s">
        <v>6</v>
      </c>
      <c r="AC36" s="25" t="s">
        <v>6</v>
      </c>
      <c r="AD36" s="153">
        <v>2</v>
      </c>
      <c r="AE36" s="17"/>
      <c r="AF36" s="168">
        <f t="shared" si="0"/>
        <v>3.125E-2</v>
      </c>
      <c r="AG36" s="169">
        <f>Master_Data[[#This Row],[Imp. Level]]/SUMIF(Master_Data[Subject],Master_Data[[#This Row],[Subject]],Master_Data[Imp. Level])</f>
        <v>0.22727272727272727</v>
      </c>
      <c r="AH36" s="151">
        <f>Master_Data[[#This Row],[Subjectwise weights]]*Master_Data[[#This Row],[Confidence Level]]</f>
        <v>0.45454545454545453</v>
      </c>
      <c r="AI36" s="152" t="str">
        <f>IF(AND(Master_Data[[#This Row],[Inst. EOC Ques.]]="D",Master_Data[[#This Row],[Prac. Book]]="D"),"D","U")</f>
        <v>U</v>
      </c>
      <c r="AJ36" s="149" t="str">
        <f>IF(AND(Master_Data[[#This Row],[Inst. Online Portal]]="D",Master_Data[[#This Row],[Schweser Prac. Bk 1]]="D",Master_Data[[#This Row],[Schweser Prac. Bk 2]]="D"),"D","U")</f>
        <v>U</v>
      </c>
    </row>
    <row r="37" spans="2:36" ht="29.25" customHeight="1" x14ac:dyDescent="0.3">
      <c r="B37" s="3">
        <v>29</v>
      </c>
      <c r="C37" s="175" t="str">
        <f ca="1">IF(Master_Data[[#This Row],[Column1]]="Done","",IF(Master_Data[[#This Row],[Column1]]=MIN(Master_Data[Column1]),"Current Week",CONCATENATE("Week ",Master_Data[[#This Row],[Column1]])))</f>
        <v>Week 24</v>
      </c>
      <c r="D37" s="3">
        <f ca="1">IF(Master_Data[[#This Row],[Cum. Undone hrs]]=0,"Done",ROUNDUP(Master_Data[[#This Row],[Cum. Undone hrs]]/Working!$C$8,0))</f>
        <v>24</v>
      </c>
      <c r="E37" s="3">
        <f ca="1">IF(OR(D37=D36,D37=D36+1),Master_Data[[#This Row],[Column1]],D37-1)</f>
        <v>24</v>
      </c>
      <c r="F37" s="15">
        <f>SUM($G$9:G37)</f>
        <v>5.7284722222222229</v>
      </c>
      <c r="G37" s="24">
        <f>IF(Master_Data[[#This Row],[Lectures]]="D","",Master_Data[[#This Row],[Duration (hh:mm)]])</f>
        <v>0.11944444444444445</v>
      </c>
      <c r="H37" s="2" t="s">
        <v>14</v>
      </c>
      <c r="I37" s="2">
        <v>26</v>
      </c>
      <c r="J37" s="2" t="s">
        <v>115</v>
      </c>
      <c r="K37" s="42" t="s">
        <v>198</v>
      </c>
      <c r="L37" s="262">
        <v>1</v>
      </c>
      <c r="M37" s="16">
        <v>9</v>
      </c>
      <c r="N37" s="41">
        <v>3</v>
      </c>
      <c r="O37" s="41">
        <v>4</v>
      </c>
      <c r="P37" s="41">
        <v>4</v>
      </c>
      <c r="Q37" s="41">
        <v>4</v>
      </c>
      <c r="R37" s="41">
        <v>4</v>
      </c>
      <c r="S37" s="41">
        <v>5</v>
      </c>
      <c r="T37" s="13">
        <v>0.11944444444444445</v>
      </c>
      <c r="U37" s="40">
        <f>(SUM($T$9:T37)/$T$4)*100</f>
        <v>71.556210964607914</v>
      </c>
      <c r="V37" s="25" t="s">
        <v>6</v>
      </c>
      <c r="W37" s="25" t="s">
        <v>6</v>
      </c>
      <c r="X37" s="25" t="s">
        <v>6</v>
      </c>
      <c r="Y37" s="25" t="s">
        <v>6</v>
      </c>
      <c r="Z37" s="25" t="s">
        <v>6</v>
      </c>
      <c r="AA37" s="25" t="s">
        <v>6</v>
      </c>
      <c r="AB37" s="25" t="s">
        <v>6</v>
      </c>
      <c r="AC37" s="25" t="s">
        <v>6</v>
      </c>
      <c r="AD37" s="153">
        <v>2</v>
      </c>
      <c r="AE37" s="17"/>
      <c r="AF37" s="168">
        <f t="shared" si="0"/>
        <v>2.5000000000000001E-2</v>
      </c>
      <c r="AG37" s="169">
        <f>Master_Data[[#This Row],[Imp. Level]]/SUMIF(Master_Data[Subject],Master_Data[[#This Row],[Subject]],Master_Data[Imp. Level])</f>
        <v>0.18181818181818182</v>
      </c>
      <c r="AH37" s="151">
        <f>Master_Data[[#This Row],[Subjectwise weights]]*Master_Data[[#This Row],[Confidence Level]]</f>
        <v>0.36363636363636365</v>
      </c>
      <c r="AI37" s="152" t="str">
        <f>IF(AND(Master_Data[[#This Row],[Inst. EOC Ques.]]="D",Master_Data[[#This Row],[Prac. Book]]="D"),"D","U")</f>
        <v>U</v>
      </c>
      <c r="AJ37" s="149" t="str">
        <f>IF(AND(Master_Data[[#This Row],[Inst. Online Portal]]="D",Master_Data[[#This Row],[Schweser Prac. Bk 1]]="D",Master_Data[[#This Row],[Schweser Prac. Bk 2]]="D"),"D","U")</f>
        <v>U</v>
      </c>
    </row>
    <row r="38" spans="2:36" ht="29.25" customHeight="1" x14ac:dyDescent="0.3">
      <c r="B38" s="3">
        <v>30</v>
      </c>
      <c r="C38" s="175" t="str">
        <f ca="1">IF(Master_Data[[#This Row],[Column1]]="Done","",IF(Master_Data[[#This Row],[Column1]]=MIN(Master_Data[Column1]),"Current Week",CONCATENATE("Week ",Master_Data[[#This Row],[Column1]])))</f>
        <v>Week 24</v>
      </c>
      <c r="D38" s="3">
        <f ca="1">IF(Master_Data[[#This Row],[Cum. Undone hrs]]=0,"Done",ROUNDUP(Master_Data[[#This Row],[Cum. Undone hrs]]/Working!$C$8,0))</f>
        <v>24</v>
      </c>
      <c r="E38" s="3">
        <f ca="1">IF(OR(D38=D37,D38=D37+1),Master_Data[[#This Row],[Column1]],D38-1)</f>
        <v>24</v>
      </c>
      <c r="F38" s="15">
        <f>SUM($G$9:G38)</f>
        <v>5.9236111111111116</v>
      </c>
      <c r="G38" s="24">
        <f>IF(Master_Data[[#This Row],[Lectures]]="D","",Master_Data[[#This Row],[Duration (hh:mm)]])</f>
        <v>0.19513888888888889</v>
      </c>
      <c r="H38" s="2" t="s">
        <v>14</v>
      </c>
      <c r="I38" s="2">
        <v>27</v>
      </c>
      <c r="J38" s="2" t="s">
        <v>115</v>
      </c>
      <c r="K38" s="42" t="s">
        <v>199</v>
      </c>
      <c r="L38" s="262">
        <v>1</v>
      </c>
      <c r="M38" s="16">
        <v>17</v>
      </c>
      <c r="N38" s="41">
        <v>3</v>
      </c>
      <c r="O38" s="41">
        <v>4</v>
      </c>
      <c r="P38" s="41">
        <v>4</v>
      </c>
      <c r="Q38" s="41">
        <v>5</v>
      </c>
      <c r="R38" s="41">
        <v>4</v>
      </c>
      <c r="S38" s="41">
        <v>5</v>
      </c>
      <c r="T38" s="13">
        <v>0.19513888888888889</v>
      </c>
      <c r="U38" s="40">
        <f>(SUM($T$9:T38)/$T$4)*100</f>
        <v>73.993754337265784</v>
      </c>
      <c r="V38" s="25" t="s">
        <v>6</v>
      </c>
      <c r="W38" s="25" t="s">
        <v>6</v>
      </c>
      <c r="X38" s="25" t="s">
        <v>6</v>
      </c>
      <c r="Y38" s="25" t="s">
        <v>6</v>
      </c>
      <c r="Z38" s="25" t="s">
        <v>6</v>
      </c>
      <c r="AA38" s="25" t="s">
        <v>6</v>
      </c>
      <c r="AB38" s="25" t="s">
        <v>6</v>
      </c>
      <c r="AC38" s="25" t="s">
        <v>6</v>
      </c>
      <c r="AD38" s="153">
        <v>3</v>
      </c>
      <c r="AE38" s="17"/>
      <c r="AF38" s="168">
        <f t="shared" si="0"/>
        <v>2.5000000000000001E-2</v>
      </c>
      <c r="AG38" s="169">
        <f>Master_Data[[#This Row],[Imp. Level]]/SUMIF(Master_Data[Subject],Master_Data[[#This Row],[Subject]],Master_Data[Imp. Level])</f>
        <v>0.18181818181818182</v>
      </c>
      <c r="AH38" s="151">
        <f>Master_Data[[#This Row],[Subjectwise weights]]*Master_Data[[#This Row],[Confidence Level]]</f>
        <v>0.54545454545454541</v>
      </c>
      <c r="AI38" s="152" t="str">
        <f>IF(AND(Master_Data[[#This Row],[Inst. EOC Ques.]]="D",Master_Data[[#This Row],[Prac. Book]]="D"),"D","U")</f>
        <v>U</v>
      </c>
      <c r="AJ38" s="149" t="str">
        <f>IF(AND(Master_Data[[#This Row],[Inst. Online Portal]]="D",Master_Data[[#This Row],[Schweser Prac. Bk 1]]="D",Master_Data[[#This Row],[Schweser Prac. Bk 2]]="D"),"D","U")</f>
        <v>U</v>
      </c>
    </row>
    <row r="39" spans="2:36" ht="29.25" customHeight="1" x14ac:dyDescent="0.3">
      <c r="B39" s="3">
        <v>31</v>
      </c>
      <c r="C39" s="175" t="str">
        <f ca="1">IF(Master_Data[[#This Row],[Column1]]="Done","",IF(Master_Data[[#This Row],[Column1]]=MIN(Master_Data[Column1]),"Current Week",CONCATENATE("Week ",Master_Data[[#This Row],[Column1]])))</f>
        <v>Week 25</v>
      </c>
      <c r="D39" s="3">
        <f ca="1">IF(Master_Data[[#This Row],[Cum. Undone hrs]]=0,"Done",ROUNDUP(Master_Data[[#This Row],[Cum. Undone hrs]]/Working!$C$8,0))</f>
        <v>25</v>
      </c>
      <c r="E39" s="3">
        <f ca="1">IF(OR(D39=D38,D39=D38+1),Master_Data[[#This Row],[Column1]],D39-1)</f>
        <v>25</v>
      </c>
      <c r="F39" s="15">
        <f>SUM($G$9:G39)</f>
        <v>6.1062500000000002</v>
      </c>
      <c r="G39" s="24">
        <f>IF(Master_Data[[#This Row],[Lectures]]="D","",Master_Data[[#This Row],[Duration (hh:mm)]])</f>
        <v>0.18263888888888891</v>
      </c>
      <c r="H39" s="2" t="s">
        <v>14</v>
      </c>
      <c r="I39" s="2">
        <v>28</v>
      </c>
      <c r="J39" s="2" t="s">
        <v>115</v>
      </c>
      <c r="K39" s="42" t="s">
        <v>200</v>
      </c>
      <c r="L39" s="262">
        <v>1</v>
      </c>
      <c r="M39" s="16">
        <v>8</v>
      </c>
      <c r="N39" s="41">
        <v>3</v>
      </c>
      <c r="O39" s="41">
        <v>4</v>
      </c>
      <c r="P39" s="41">
        <v>5</v>
      </c>
      <c r="Q39" s="41">
        <v>4</v>
      </c>
      <c r="R39" s="41">
        <v>4</v>
      </c>
      <c r="S39" s="41">
        <v>5</v>
      </c>
      <c r="T39" s="12">
        <v>0.18263888888888891</v>
      </c>
      <c r="U39" s="40">
        <f>(SUM($T$9:T39)/$T$4)*100</f>
        <v>76.275156141568345</v>
      </c>
      <c r="V39" s="25" t="s">
        <v>6</v>
      </c>
      <c r="W39" s="25" t="s">
        <v>6</v>
      </c>
      <c r="X39" s="25" t="s">
        <v>6</v>
      </c>
      <c r="Y39" s="25" t="s">
        <v>6</v>
      </c>
      <c r="Z39" s="25" t="s">
        <v>6</v>
      </c>
      <c r="AA39" s="25" t="s">
        <v>6</v>
      </c>
      <c r="AB39" s="25" t="s">
        <v>6</v>
      </c>
      <c r="AC39" s="25" t="s">
        <v>6</v>
      </c>
      <c r="AD39" s="153">
        <v>3</v>
      </c>
      <c r="AE39" s="17"/>
      <c r="AF39" s="168">
        <f t="shared" si="0"/>
        <v>2.5000000000000001E-2</v>
      </c>
      <c r="AG39" s="169">
        <f>Master_Data[[#This Row],[Imp. Level]]/SUMIF(Master_Data[Subject],Master_Data[[#This Row],[Subject]],Master_Data[Imp. Level])</f>
        <v>0.18181818181818182</v>
      </c>
      <c r="AH39" s="151">
        <f>Master_Data[[#This Row],[Subjectwise weights]]*Master_Data[[#This Row],[Confidence Level]]</f>
        <v>0.54545454545454541</v>
      </c>
      <c r="AI39" s="152" t="str">
        <f>IF(AND(Master_Data[[#This Row],[Inst. EOC Ques.]]="D",Master_Data[[#This Row],[Prac. Book]]="D"),"D","U")</f>
        <v>U</v>
      </c>
      <c r="AJ39" s="149" t="str">
        <f>IF(AND(Master_Data[[#This Row],[Inst. Online Portal]]="D",Master_Data[[#This Row],[Schweser Prac. Bk 1]]="D",Master_Data[[#This Row],[Schweser Prac. Bk 2]]="D"),"D","U")</f>
        <v>U</v>
      </c>
    </row>
    <row r="40" spans="2:36" ht="29.25" customHeight="1" x14ac:dyDescent="0.3">
      <c r="B40" s="3">
        <v>32</v>
      </c>
      <c r="C40" s="175" t="str">
        <f ca="1">IF(Master_Data[[#This Row],[Column1]]="Done","",IF(Master_Data[[#This Row],[Column1]]=MIN(Master_Data[Column1]),"Current Week",CONCATENATE("Week ",Master_Data[[#This Row],[Column1]])))</f>
        <v>Week 26</v>
      </c>
      <c r="D40" s="3">
        <f ca="1">IF(Master_Data[[#This Row],[Cum. Undone hrs]]=0,"Done",ROUNDUP(Master_Data[[#This Row],[Cum. Undone hrs]]/Working!$C$8,0))</f>
        <v>26</v>
      </c>
      <c r="E40" s="3">
        <f ca="1">IF(OR(D40=D39,D40=D39+1),Master_Data[[#This Row],[Column1]],D40-1)</f>
        <v>26</v>
      </c>
      <c r="F40" s="15">
        <f>SUM($G$9:G40)</f>
        <v>6.2597222222222229</v>
      </c>
      <c r="G40" s="24">
        <f>IF(Master_Data[[#This Row],[Lectures]]="D","",Master_Data[[#This Row],[Duration (hh:mm)]])</f>
        <v>0.15347222222222223</v>
      </c>
      <c r="H40" s="2" t="s">
        <v>14</v>
      </c>
      <c r="I40" s="2">
        <v>29</v>
      </c>
      <c r="J40" s="2" t="s">
        <v>115</v>
      </c>
      <c r="K40" s="42" t="s">
        <v>201</v>
      </c>
      <c r="L40" s="262">
        <v>1</v>
      </c>
      <c r="M40" s="16">
        <v>5</v>
      </c>
      <c r="N40" s="41">
        <v>2</v>
      </c>
      <c r="O40" s="41">
        <v>3</v>
      </c>
      <c r="P40" s="41">
        <v>5</v>
      </c>
      <c r="Q40" s="41">
        <v>5</v>
      </c>
      <c r="R40" s="41">
        <v>5</v>
      </c>
      <c r="S40" s="41">
        <v>5</v>
      </c>
      <c r="T40" s="13">
        <v>0.15347222222222223</v>
      </c>
      <c r="U40" s="40">
        <f>(SUM($T$9:T40)/$T$4)*100</f>
        <v>78.192227619708532</v>
      </c>
      <c r="V40" s="25" t="s">
        <v>6</v>
      </c>
      <c r="W40" s="25" t="s">
        <v>6</v>
      </c>
      <c r="X40" s="25" t="s">
        <v>6</v>
      </c>
      <c r="Y40" s="25" t="s">
        <v>6</v>
      </c>
      <c r="Z40" s="25" t="s">
        <v>6</v>
      </c>
      <c r="AA40" s="25" t="s">
        <v>6</v>
      </c>
      <c r="AB40" s="25" t="s">
        <v>6</v>
      </c>
      <c r="AC40" s="25" t="s">
        <v>6</v>
      </c>
      <c r="AD40" s="153">
        <v>2</v>
      </c>
      <c r="AE40" s="17"/>
      <c r="AF40" s="168">
        <f t="shared" si="0"/>
        <v>3.125E-2</v>
      </c>
      <c r="AG40" s="169">
        <f>Master_Data[[#This Row],[Imp. Level]]/SUMIF(Master_Data[Subject],Master_Data[[#This Row],[Subject]],Master_Data[Imp. Level])</f>
        <v>0.22727272727272727</v>
      </c>
      <c r="AH40" s="151">
        <f>Master_Data[[#This Row],[Subjectwise weights]]*Master_Data[[#This Row],[Confidence Level]]</f>
        <v>0.45454545454545453</v>
      </c>
      <c r="AI40" s="152" t="str">
        <f>IF(AND(Master_Data[[#This Row],[Inst. EOC Ques.]]="D",Master_Data[[#This Row],[Prac. Book]]="D"),"D","U")</f>
        <v>U</v>
      </c>
      <c r="AJ40" s="149" t="str">
        <f>IF(AND(Master_Data[[#This Row],[Inst. Online Portal]]="D",Master_Data[[#This Row],[Schweser Prac. Bk 1]]="D",Master_Data[[#This Row],[Schweser Prac. Bk 2]]="D"),"D","U")</f>
        <v>U</v>
      </c>
    </row>
    <row r="41" spans="2:36" ht="29.25" customHeight="1" x14ac:dyDescent="0.3">
      <c r="B41" s="3">
        <v>33</v>
      </c>
      <c r="C41" s="175" t="str">
        <f ca="1">IF(Master_Data[[#This Row],[Column1]]="Done","",IF(Master_Data[[#This Row],[Column1]]=MIN(Master_Data[Column1]),"Current Week",CONCATENATE("Week ",Master_Data[[#This Row],[Column1]])))</f>
        <v>Week 26</v>
      </c>
      <c r="D41" s="3">
        <f ca="1">IF(Master_Data[[#This Row],[Cum. Undone hrs]]=0,"Done",ROUNDUP(Master_Data[[#This Row],[Cum. Undone hrs]]/Working!$C$8,0))</f>
        <v>26</v>
      </c>
      <c r="E41" s="3">
        <f ca="1">IF(OR(D41=D40,D41=D40+1),Master_Data[[#This Row],[Column1]],D41-1)</f>
        <v>26</v>
      </c>
      <c r="F41" s="15">
        <f>SUM($G$9:G41)</f>
        <v>6.3868055555555561</v>
      </c>
      <c r="G41" s="24">
        <f>IF(Master_Data[[#This Row],[Lectures]]="D","",Master_Data[[#This Row],[Duration (hh:mm)]])</f>
        <v>0.12708333333333333</v>
      </c>
      <c r="H41" s="2" t="s">
        <v>12</v>
      </c>
      <c r="I41" s="2">
        <v>39</v>
      </c>
      <c r="J41" s="2" t="s">
        <v>115</v>
      </c>
      <c r="K41" s="42" t="s">
        <v>202</v>
      </c>
      <c r="L41" s="262">
        <v>1</v>
      </c>
      <c r="M41" s="16">
        <v>11</v>
      </c>
      <c r="N41" s="41">
        <v>2</v>
      </c>
      <c r="O41" s="41">
        <v>2</v>
      </c>
      <c r="P41" s="41">
        <v>4</v>
      </c>
      <c r="Q41" s="41">
        <v>5</v>
      </c>
      <c r="R41" s="41">
        <v>4</v>
      </c>
      <c r="S41" s="41">
        <v>5</v>
      </c>
      <c r="T41" s="11">
        <v>0.12708333333333333</v>
      </c>
      <c r="U41" s="40">
        <f>(SUM($T$9:T41)/$T$4)*100</f>
        <v>79.779666897987511</v>
      </c>
      <c r="V41" s="25" t="s">
        <v>6</v>
      </c>
      <c r="W41" s="25" t="s">
        <v>6</v>
      </c>
      <c r="X41" s="25" t="s">
        <v>6</v>
      </c>
      <c r="Y41" s="25" t="s">
        <v>6</v>
      </c>
      <c r="Z41" s="25" t="s">
        <v>6</v>
      </c>
      <c r="AA41" s="25" t="s">
        <v>6</v>
      </c>
      <c r="AB41" s="25" t="s">
        <v>6</v>
      </c>
      <c r="AC41" s="25" t="s">
        <v>6</v>
      </c>
      <c r="AD41" s="153">
        <v>2</v>
      </c>
      <c r="AE41" s="17"/>
      <c r="AF41" s="168">
        <f t="shared" si="0"/>
        <v>2.5000000000000001E-2</v>
      </c>
      <c r="AG41" s="169">
        <f>Master_Data[[#This Row],[Imp. Level]]/SUMIF(Master_Data[Subject],Master_Data[[#This Row],[Subject]],Master_Data[Imp. Level])</f>
        <v>0.18181818181818182</v>
      </c>
      <c r="AH41" s="151">
        <f>Master_Data[[#This Row],[Subjectwise weights]]*Master_Data[[#This Row],[Confidence Level]]</f>
        <v>0.36363636363636365</v>
      </c>
      <c r="AI41" s="152" t="str">
        <f>IF(AND(Master_Data[[#This Row],[Inst. EOC Ques.]]="D",Master_Data[[#This Row],[Prac. Book]]="D"),"D","U")</f>
        <v>U</v>
      </c>
      <c r="AJ41" s="149" t="str">
        <f>IF(AND(Master_Data[[#This Row],[Inst. Online Portal]]="D",Master_Data[[#This Row],[Schweser Prac. Bk 1]]="D",Master_Data[[#This Row],[Schweser Prac. Bk 2]]="D"),"D","U")</f>
        <v>U</v>
      </c>
    </row>
    <row r="42" spans="2:36" ht="29.25" customHeight="1" x14ac:dyDescent="0.3">
      <c r="B42" s="3">
        <v>34</v>
      </c>
      <c r="C42" s="175" t="str">
        <f ca="1">IF(Master_Data[[#This Row],[Column1]]="Done","",IF(Master_Data[[#This Row],[Column1]]=MIN(Master_Data[Column1]),"Current Week",CONCATENATE("Week ",Master_Data[[#This Row],[Column1]])))</f>
        <v>Week 27</v>
      </c>
      <c r="D42" s="3">
        <f ca="1">IF(Master_Data[[#This Row],[Cum. Undone hrs]]=0,"Done",ROUNDUP(Master_Data[[#This Row],[Cum. Undone hrs]]/Working!$C$8,0))</f>
        <v>27</v>
      </c>
      <c r="E42" s="3">
        <f ca="1">IF(OR(D42=D41,D42=D41+1),Master_Data[[#This Row],[Column1]],D42-1)</f>
        <v>27</v>
      </c>
      <c r="F42" s="15">
        <f>SUM($G$9:G42)</f>
        <v>6.5256944444444454</v>
      </c>
      <c r="G42" s="24">
        <f>IF(Master_Data[[#This Row],[Lectures]]="D","",Master_Data[[#This Row],[Duration (hh:mm)]])</f>
        <v>0.1388888888888889</v>
      </c>
      <c r="H42" s="2" t="s">
        <v>12</v>
      </c>
      <c r="I42" s="2">
        <v>36</v>
      </c>
      <c r="J42" s="2" t="s">
        <v>115</v>
      </c>
      <c r="K42" s="42" t="s">
        <v>203</v>
      </c>
      <c r="L42" s="262">
        <v>1</v>
      </c>
      <c r="M42" s="16">
        <v>7</v>
      </c>
      <c r="N42" s="41">
        <v>3</v>
      </c>
      <c r="O42" s="41">
        <v>4</v>
      </c>
      <c r="P42" s="41">
        <v>4</v>
      </c>
      <c r="Q42" s="41">
        <v>4</v>
      </c>
      <c r="R42" s="41">
        <v>4</v>
      </c>
      <c r="S42" s="41">
        <v>5</v>
      </c>
      <c r="T42" s="13">
        <v>0.1388888888888889</v>
      </c>
      <c r="U42" s="40">
        <f>(SUM($T$9:T42)/$T$4)*100</f>
        <v>81.514573213046489</v>
      </c>
      <c r="V42" s="25" t="s">
        <v>6</v>
      </c>
      <c r="W42" s="25" t="s">
        <v>6</v>
      </c>
      <c r="X42" s="25" t="s">
        <v>6</v>
      </c>
      <c r="Y42" s="25" t="s">
        <v>6</v>
      </c>
      <c r="Z42" s="25" t="s">
        <v>6</v>
      </c>
      <c r="AA42" s="25" t="s">
        <v>6</v>
      </c>
      <c r="AB42" s="25" t="s">
        <v>6</v>
      </c>
      <c r="AC42" s="25" t="s">
        <v>6</v>
      </c>
      <c r="AD42" s="153">
        <v>2</v>
      </c>
      <c r="AE42" s="17"/>
      <c r="AF42" s="168">
        <f t="shared" si="0"/>
        <v>2.5000000000000001E-2</v>
      </c>
      <c r="AG42" s="169">
        <f>Master_Data[[#This Row],[Imp. Level]]/SUMIF(Master_Data[Subject],Master_Data[[#This Row],[Subject]],Master_Data[Imp. Level])</f>
        <v>0.18181818181818182</v>
      </c>
      <c r="AH42" s="151">
        <f>Master_Data[[#This Row],[Subjectwise weights]]*Master_Data[[#This Row],[Confidence Level]]</f>
        <v>0.36363636363636365</v>
      </c>
      <c r="AI42" s="152" t="str">
        <f>IF(AND(Master_Data[[#This Row],[Inst. EOC Ques.]]="D",Master_Data[[#This Row],[Prac. Book]]="D"),"D","U")</f>
        <v>U</v>
      </c>
      <c r="AJ42" s="149" t="str">
        <f>IF(AND(Master_Data[[#This Row],[Inst. Online Portal]]="D",Master_Data[[#This Row],[Schweser Prac. Bk 1]]="D",Master_Data[[#This Row],[Schweser Prac. Bk 2]]="D"),"D","U")</f>
        <v>U</v>
      </c>
    </row>
    <row r="43" spans="2:36" ht="29.25" customHeight="1" x14ac:dyDescent="0.3">
      <c r="B43" s="3">
        <v>35</v>
      </c>
      <c r="C43" s="175" t="str">
        <f ca="1">IF(Master_Data[[#This Row],[Column1]]="Done","",IF(Master_Data[[#This Row],[Column1]]=MIN(Master_Data[Column1]),"Current Week",CONCATENATE("Week ",Master_Data[[#This Row],[Column1]])))</f>
        <v>Week 27</v>
      </c>
      <c r="D43" s="3">
        <f ca="1">IF(Master_Data[[#This Row],[Cum. Undone hrs]]=0,"Done",ROUNDUP(Master_Data[[#This Row],[Cum. Undone hrs]]/Working!$C$8,0))</f>
        <v>27</v>
      </c>
      <c r="E43" s="3">
        <f ca="1">IF(OR(D43=D42,D43=D42+1),Master_Data[[#This Row],[Column1]],D43-1)</f>
        <v>27</v>
      </c>
      <c r="F43" s="15">
        <f>SUM($G$9:G43)</f>
        <v>6.6645833333333346</v>
      </c>
      <c r="G43" s="24">
        <f>IF(Master_Data[[#This Row],[Lectures]]="D","",Master_Data[[#This Row],[Duration (hh:mm)]])</f>
        <v>0.1388888888888889</v>
      </c>
      <c r="H43" s="2" t="s">
        <v>12</v>
      </c>
      <c r="I43" s="2">
        <v>40</v>
      </c>
      <c r="J43" s="2" t="s">
        <v>115</v>
      </c>
      <c r="K43" s="42" t="s">
        <v>204</v>
      </c>
      <c r="L43" s="262">
        <v>1</v>
      </c>
      <c r="M43" s="16">
        <v>6</v>
      </c>
      <c r="N43" s="41">
        <v>3</v>
      </c>
      <c r="O43" s="41">
        <v>4</v>
      </c>
      <c r="P43" s="41">
        <v>5</v>
      </c>
      <c r="Q43" s="41">
        <v>5</v>
      </c>
      <c r="R43" s="41">
        <v>4</v>
      </c>
      <c r="S43" s="41">
        <v>5</v>
      </c>
      <c r="T43" s="11">
        <v>0.1388888888888889</v>
      </c>
      <c r="U43" s="40">
        <f>(SUM($T$9:T43)/$T$4)*100</f>
        <v>83.249479528105482</v>
      </c>
      <c r="V43" s="25" t="s">
        <v>6</v>
      </c>
      <c r="W43" s="25" t="s">
        <v>6</v>
      </c>
      <c r="X43" s="25" t="s">
        <v>6</v>
      </c>
      <c r="Y43" s="25" t="s">
        <v>6</v>
      </c>
      <c r="Z43" s="25" t="s">
        <v>6</v>
      </c>
      <c r="AA43" s="25" t="s">
        <v>6</v>
      </c>
      <c r="AB43" s="25" t="s">
        <v>6</v>
      </c>
      <c r="AC43" s="25" t="s">
        <v>6</v>
      </c>
      <c r="AD43" s="153">
        <v>2</v>
      </c>
      <c r="AE43" s="17"/>
      <c r="AF43" s="168">
        <f t="shared" si="0"/>
        <v>2.5000000000000001E-2</v>
      </c>
      <c r="AG43" s="169">
        <f>Master_Data[[#This Row],[Imp. Level]]/SUMIF(Master_Data[Subject],Master_Data[[#This Row],[Subject]],Master_Data[Imp. Level])</f>
        <v>0.18181818181818182</v>
      </c>
      <c r="AH43" s="151">
        <f>Master_Data[[#This Row],[Subjectwise weights]]*Master_Data[[#This Row],[Confidence Level]]</f>
        <v>0.36363636363636365</v>
      </c>
      <c r="AI43" s="152" t="str">
        <f>IF(AND(Master_Data[[#This Row],[Inst. EOC Ques.]]="D",Master_Data[[#This Row],[Prac. Book]]="D"),"D","U")</f>
        <v>U</v>
      </c>
      <c r="AJ43" s="149" t="str">
        <f>IF(AND(Master_Data[[#This Row],[Inst. Online Portal]]="D",Master_Data[[#This Row],[Schweser Prac. Bk 1]]="D",Master_Data[[#This Row],[Schweser Prac. Bk 2]]="D"),"D","U")</f>
        <v>U</v>
      </c>
    </row>
    <row r="44" spans="2:36" ht="29.25" customHeight="1" x14ac:dyDescent="0.3">
      <c r="B44" s="3">
        <v>36</v>
      </c>
      <c r="C44" s="175" t="str">
        <f ca="1">IF(Master_Data[[#This Row],[Column1]]="Done","",IF(Master_Data[[#This Row],[Column1]]=MIN(Master_Data[Column1]),"Current Week",CONCATENATE("Week ",Master_Data[[#This Row],[Column1]])))</f>
        <v>Week 28</v>
      </c>
      <c r="D44" s="3">
        <f ca="1">IF(Master_Data[[#This Row],[Cum. Undone hrs]]=0,"Done",ROUNDUP(Master_Data[[#This Row],[Cum. Undone hrs]]/Working!$C$8,0))</f>
        <v>28</v>
      </c>
      <c r="E44" s="3">
        <f ca="1">IF(OR(D44=D43,D44=D43+1),Master_Data[[#This Row],[Column1]],D44-1)</f>
        <v>28</v>
      </c>
      <c r="F44" s="15">
        <f>SUM($G$9:G44)</f>
        <v>6.8069444444444454</v>
      </c>
      <c r="G44" s="24">
        <f>IF(Master_Data[[#This Row],[Lectures]]="D","",Master_Data[[#This Row],[Duration (hh:mm)]])</f>
        <v>0.1423611111111111</v>
      </c>
      <c r="H44" s="2" t="s">
        <v>12</v>
      </c>
      <c r="I44" s="2">
        <v>37</v>
      </c>
      <c r="J44" s="2" t="s">
        <v>115</v>
      </c>
      <c r="K44" s="42" t="s">
        <v>205</v>
      </c>
      <c r="L44" s="262">
        <v>1</v>
      </c>
      <c r="M44" s="16">
        <v>12</v>
      </c>
      <c r="N44" s="41">
        <v>2</v>
      </c>
      <c r="O44" s="41">
        <v>1</v>
      </c>
      <c r="P44" s="41">
        <v>3</v>
      </c>
      <c r="Q44" s="41">
        <v>3</v>
      </c>
      <c r="R44" s="41">
        <v>3</v>
      </c>
      <c r="S44" s="41">
        <v>4</v>
      </c>
      <c r="T44" s="12">
        <v>0.1423611111111111</v>
      </c>
      <c r="U44" s="40">
        <f>(SUM($T$9:T44)/$T$4)*100</f>
        <v>85.02775850104095</v>
      </c>
      <c r="V44" s="25" t="s">
        <v>6</v>
      </c>
      <c r="W44" s="25" t="s">
        <v>6</v>
      </c>
      <c r="X44" s="25" t="s">
        <v>6</v>
      </c>
      <c r="Y44" s="25" t="s">
        <v>6</v>
      </c>
      <c r="Z44" s="25" t="s">
        <v>6</v>
      </c>
      <c r="AA44" s="25" t="s">
        <v>6</v>
      </c>
      <c r="AB44" s="25" t="s">
        <v>6</v>
      </c>
      <c r="AC44" s="25" t="s">
        <v>6</v>
      </c>
      <c r="AD44" s="153">
        <v>2</v>
      </c>
      <c r="AE44" s="17"/>
      <c r="AF44" s="168">
        <f t="shared" si="0"/>
        <v>1.8749999999999999E-2</v>
      </c>
      <c r="AG44" s="169">
        <f>Master_Data[[#This Row],[Imp. Level]]/SUMIF(Master_Data[Subject],Master_Data[[#This Row],[Subject]],Master_Data[Imp. Level])</f>
        <v>0.13636363636363635</v>
      </c>
      <c r="AH44" s="151">
        <f>Master_Data[[#This Row],[Subjectwise weights]]*Master_Data[[#This Row],[Confidence Level]]</f>
        <v>0.27272727272727271</v>
      </c>
      <c r="AI44" s="152" t="str">
        <f>IF(AND(Master_Data[[#This Row],[Inst. EOC Ques.]]="D",Master_Data[[#This Row],[Prac. Book]]="D"),"D","U")</f>
        <v>U</v>
      </c>
      <c r="AJ44" s="149" t="str">
        <f>IF(AND(Master_Data[[#This Row],[Inst. Online Portal]]="D",Master_Data[[#This Row],[Schweser Prac. Bk 1]]="D",Master_Data[[#This Row],[Schweser Prac. Bk 2]]="D"),"D","U")</f>
        <v>U</v>
      </c>
    </row>
    <row r="45" spans="2:36" ht="29.25" customHeight="1" x14ac:dyDescent="0.3">
      <c r="B45" s="3">
        <v>37</v>
      </c>
      <c r="C45" s="175" t="str">
        <f ca="1">IF(Master_Data[[#This Row],[Column1]]="Done","",IF(Master_Data[[#This Row],[Column1]]=MIN(Master_Data[Column1]),"Current Week",CONCATENATE("Week ",Master_Data[[#This Row],[Column1]])))</f>
        <v>Week 29</v>
      </c>
      <c r="D45" s="3">
        <f ca="1">IF(Master_Data[[#This Row],[Cum. Undone hrs]]=0,"Done",ROUNDUP(Master_Data[[#This Row],[Cum. Undone hrs]]/Working!$C$8,0))</f>
        <v>29</v>
      </c>
      <c r="E45" s="3">
        <f ca="1">IF(OR(D45=D44,D45=D44+1),Master_Data[[#This Row],[Column1]],D45-1)</f>
        <v>29</v>
      </c>
      <c r="F45" s="15">
        <f>SUM($G$9:G45)</f>
        <v>7.0305555555555568</v>
      </c>
      <c r="G45" s="24">
        <f>IF(Master_Data[[#This Row],[Lectures]]="D","",Master_Data[[#This Row],[Duration (hh:mm)]])</f>
        <v>0.22361111111111109</v>
      </c>
      <c r="H45" s="2" t="s">
        <v>12</v>
      </c>
      <c r="I45" s="2">
        <v>35</v>
      </c>
      <c r="J45" s="2" t="s">
        <v>115</v>
      </c>
      <c r="K45" s="42" t="s">
        <v>219</v>
      </c>
      <c r="L45" s="262">
        <v>1</v>
      </c>
      <c r="M45" s="16">
        <v>8</v>
      </c>
      <c r="N45" s="41">
        <v>3</v>
      </c>
      <c r="O45" s="41">
        <v>1</v>
      </c>
      <c r="P45" s="41">
        <v>4</v>
      </c>
      <c r="Q45" s="41">
        <v>5</v>
      </c>
      <c r="R45" s="41">
        <v>4</v>
      </c>
      <c r="S45" s="41">
        <v>4</v>
      </c>
      <c r="T45" s="13">
        <v>0.22361111111111109</v>
      </c>
      <c r="U45" s="40">
        <f>(SUM($T$9:T45)/$T$4)*100</f>
        <v>87.820957668285914</v>
      </c>
      <c r="V45" s="25" t="s">
        <v>6</v>
      </c>
      <c r="W45" s="25" t="s">
        <v>6</v>
      </c>
      <c r="X45" s="25" t="s">
        <v>6</v>
      </c>
      <c r="Y45" s="25" t="s">
        <v>6</v>
      </c>
      <c r="Z45" s="25" t="s">
        <v>6</v>
      </c>
      <c r="AA45" s="25" t="s">
        <v>6</v>
      </c>
      <c r="AB45" s="25" t="s">
        <v>6</v>
      </c>
      <c r="AC45" s="25" t="s">
        <v>6</v>
      </c>
      <c r="AD45" s="153">
        <v>2</v>
      </c>
      <c r="AE45" s="17"/>
      <c r="AF45" s="168">
        <f t="shared" si="0"/>
        <v>2.5000000000000001E-2</v>
      </c>
      <c r="AG45" s="169">
        <f>Master_Data[[#This Row],[Imp. Level]]/SUMIF(Master_Data[Subject],Master_Data[[#This Row],[Subject]],Master_Data[Imp. Level])</f>
        <v>0.18181818181818182</v>
      </c>
      <c r="AH45" s="151">
        <f>Master_Data[[#This Row],[Subjectwise weights]]*Master_Data[[#This Row],[Confidence Level]]</f>
        <v>0.36363636363636365</v>
      </c>
      <c r="AI45" s="152" t="str">
        <f>IF(AND(Master_Data[[#This Row],[Inst. EOC Ques.]]="D",Master_Data[[#This Row],[Prac. Book]]="D"),"D","U")</f>
        <v>U</v>
      </c>
      <c r="AJ45" s="149" t="str">
        <f>IF(AND(Master_Data[[#This Row],[Inst. Online Portal]]="D",Master_Data[[#This Row],[Schweser Prac. Bk 1]]="D",Master_Data[[#This Row],[Schweser Prac. Bk 2]]="D"),"D","U")</f>
        <v>U</v>
      </c>
    </row>
    <row r="46" spans="2:36" ht="29.25" customHeight="1" x14ac:dyDescent="0.3">
      <c r="B46" s="3">
        <v>38</v>
      </c>
      <c r="C46" s="175" t="str">
        <f ca="1">IF(Master_Data[[#This Row],[Column1]]="Done","",IF(Master_Data[[#This Row],[Column1]]=MIN(Master_Data[Column1]),"Current Week",CONCATENATE("Week ",Master_Data[[#This Row],[Column1]])))</f>
        <v>Week 30</v>
      </c>
      <c r="D46" s="3">
        <f ca="1">IF(Master_Data[[#This Row],[Cum. Undone hrs]]=0,"Done",ROUNDUP(Master_Data[[#This Row],[Cum. Undone hrs]]/Working!$C$8,0))</f>
        <v>30</v>
      </c>
      <c r="E46" s="3">
        <f ca="1">IF(OR(D46=D45,D46=D45+1),Master_Data[[#This Row],[Column1]],D46-1)</f>
        <v>30</v>
      </c>
      <c r="F46" s="24">
        <f>SUM($G$9:G46)</f>
        <v>7.2312500000000011</v>
      </c>
      <c r="G46" s="3">
        <f>IF(Master_Data[[#This Row],[Lectures]]="D","",Master_Data[[#This Row],[Duration (hh:mm)]])</f>
        <v>0.20069444444444443</v>
      </c>
      <c r="H46" s="2" t="s">
        <v>12</v>
      </c>
      <c r="I46" s="2">
        <v>38</v>
      </c>
      <c r="J46" s="2" t="s">
        <v>115</v>
      </c>
      <c r="K46" s="42" t="s">
        <v>220</v>
      </c>
      <c r="L46" s="262">
        <v>1</v>
      </c>
      <c r="M46" s="16">
        <v>8</v>
      </c>
      <c r="N46" s="41">
        <v>3</v>
      </c>
      <c r="O46" s="41">
        <v>3</v>
      </c>
      <c r="P46" s="41">
        <v>4</v>
      </c>
      <c r="Q46" s="41">
        <v>4</v>
      </c>
      <c r="R46" s="41">
        <v>3</v>
      </c>
      <c r="S46" s="41">
        <v>4</v>
      </c>
      <c r="T46" s="11">
        <v>0.20069444444444443</v>
      </c>
      <c r="U46" s="40">
        <f>(SUM($T$9:T46)/$T$4)*100</f>
        <v>90.327897293546158</v>
      </c>
      <c r="V46" s="25" t="s">
        <v>6</v>
      </c>
      <c r="W46" s="25" t="s">
        <v>6</v>
      </c>
      <c r="X46" s="25" t="s">
        <v>6</v>
      </c>
      <c r="Y46" s="25" t="s">
        <v>6</v>
      </c>
      <c r="Z46" s="25" t="s">
        <v>6</v>
      </c>
      <c r="AA46" s="25" t="s">
        <v>6</v>
      </c>
      <c r="AB46" s="25" t="s">
        <v>6</v>
      </c>
      <c r="AC46" s="25" t="s">
        <v>6</v>
      </c>
      <c r="AD46" s="153">
        <v>3</v>
      </c>
      <c r="AE46" s="17"/>
      <c r="AF46" s="168">
        <f t="shared" si="0"/>
        <v>1.8749999999999999E-2</v>
      </c>
      <c r="AG46" s="170">
        <f>Master_Data[[#This Row],[Imp. Level]]/SUMIF(Master_Data[Subject],Master_Data[[#This Row],[Subject]],Master_Data[Imp. Level])</f>
        <v>0.13636363636363635</v>
      </c>
      <c r="AH46" s="171">
        <f>Master_Data[[#This Row],[Subjectwise weights]]*Master_Data[[#This Row],[Confidence Level]]</f>
        <v>0.40909090909090906</v>
      </c>
      <c r="AI46" s="149" t="str">
        <f>IF(AND(Master_Data[[#This Row],[Inst. EOC Ques.]]="D",Master_Data[[#This Row],[Prac. Book]]="D"),"D","U")</f>
        <v>U</v>
      </c>
      <c r="AJ46" s="149" t="str">
        <f>IF(AND(Master_Data[[#This Row],[Inst. Online Portal]]="D",Master_Data[[#This Row],[Schweser Prac. Bk 1]]="D",Master_Data[[#This Row],[Schweser Prac. Bk 2]]="D"),"D","U")</f>
        <v>U</v>
      </c>
    </row>
    <row r="47" spans="2:36" ht="29.25" customHeight="1" x14ac:dyDescent="0.3">
      <c r="B47" s="3">
        <v>39</v>
      </c>
      <c r="C47" s="175" t="str">
        <f ca="1">IF(Master_Data[[#This Row],[Column1]]="Done","",IF(Master_Data[[#This Row],[Column1]]=MIN(Master_Data[Column1]),"Current Week",CONCATENATE("Week ",Master_Data[[#This Row],[Column1]])))</f>
        <v>Week 30</v>
      </c>
      <c r="D47" s="3">
        <f ca="1">IF(Master_Data[[#This Row],[Cum. Undone hrs]]=0,"Done",ROUNDUP(Master_Data[[#This Row],[Cum. Undone hrs]]/Working!$C$8,0))</f>
        <v>30</v>
      </c>
      <c r="E47" s="3">
        <f ca="1">IF(OR(D47=D46,D47=D46+1),Master_Data[[#This Row],[Column1]],D47-1)</f>
        <v>30</v>
      </c>
      <c r="F47" s="15">
        <f>SUM($G$9:G47)</f>
        <v>7.4590277777777789</v>
      </c>
      <c r="G47" s="24">
        <f>IF(Master_Data[[#This Row],[Lectures]]="D","",Master_Data[[#This Row],[Duration (hh:mm)]])</f>
        <v>0.22777777777777777</v>
      </c>
      <c r="H47" s="2" t="s">
        <v>227</v>
      </c>
      <c r="I47" s="2">
        <v>15</v>
      </c>
      <c r="J47" s="2" t="s">
        <v>115</v>
      </c>
      <c r="K47" s="42" t="s">
        <v>206</v>
      </c>
      <c r="L47" s="262">
        <v>1</v>
      </c>
      <c r="M47" s="16">
        <v>14</v>
      </c>
      <c r="N47" s="41">
        <v>2</v>
      </c>
      <c r="O47" s="41">
        <v>2</v>
      </c>
      <c r="P47" s="41">
        <v>2</v>
      </c>
      <c r="Q47" s="41">
        <v>3</v>
      </c>
      <c r="R47" s="41">
        <v>3</v>
      </c>
      <c r="S47" s="41">
        <v>3</v>
      </c>
      <c r="T47" s="11">
        <v>0.22777777777777777</v>
      </c>
      <c r="U47" s="40">
        <f>(SUM($T$9:T47)/$T$4)*100</f>
        <v>93.173143650242892</v>
      </c>
      <c r="V47" s="25" t="s">
        <v>6</v>
      </c>
      <c r="W47" s="25" t="s">
        <v>6</v>
      </c>
      <c r="X47" s="25" t="s">
        <v>6</v>
      </c>
      <c r="Y47" s="25" t="s">
        <v>6</v>
      </c>
      <c r="Z47" s="25" t="s">
        <v>6</v>
      </c>
      <c r="AA47" s="25" t="s">
        <v>6</v>
      </c>
      <c r="AB47" s="25" t="s">
        <v>6</v>
      </c>
      <c r="AC47" s="25" t="s">
        <v>6</v>
      </c>
      <c r="AD47" s="153">
        <v>2</v>
      </c>
      <c r="AE47" s="17"/>
      <c r="AF47" s="168">
        <f t="shared" si="0"/>
        <v>1.8749999999999999E-2</v>
      </c>
      <c r="AG47" s="169">
        <f>Master_Data[[#This Row],[Imp. Level]]/SUMIF(Master_Data[Subject],Master_Data[[#This Row],[Subject]],Master_Data[Imp. Level])</f>
        <v>0.2</v>
      </c>
      <c r="AH47" s="151">
        <f>Master_Data[[#This Row],[Subjectwise weights]]*Master_Data[[#This Row],[Confidence Level]]</f>
        <v>0.4</v>
      </c>
      <c r="AI47" s="152" t="str">
        <f>IF(AND(Master_Data[[#This Row],[Inst. EOC Ques.]]="D",Master_Data[[#This Row],[Prac. Book]]="D"),"D","U")</f>
        <v>U</v>
      </c>
      <c r="AJ47" s="149" t="str">
        <f>IF(AND(Master_Data[[#This Row],[Inst. Online Portal]]="D",Master_Data[[#This Row],[Schweser Prac. Bk 1]]="D",Master_Data[[#This Row],[Schweser Prac. Bk 2]]="D"),"D","U")</f>
        <v>U</v>
      </c>
    </row>
    <row r="48" spans="2:36" ht="44" customHeight="1" x14ac:dyDescent="0.3">
      <c r="B48" s="3">
        <v>40</v>
      </c>
      <c r="C48" s="175" t="str">
        <f ca="1">IF(Master_Data[[#This Row],[Column1]]="Done","",IF(Master_Data[[#This Row],[Column1]]=MIN(Master_Data[Column1]),"Current Week",CONCATENATE("Week ",Master_Data[[#This Row],[Column1]])))</f>
        <v>Week 31</v>
      </c>
      <c r="D48" s="3">
        <f ca="1">IF(Master_Data[[#This Row],[Cum. Undone hrs]]=0,"Done",ROUNDUP(Master_Data[[#This Row],[Cum. Undone hrs]]/Working!$C$8,0))</f>
        <v>31</v>
      </c>
      <c r="E48" s="3">
        <f ca="1">IF(OR(D48=D47,D48=D47+1),Master_Data[[#This Row],[Column1]],D48-1)</f>
        <v>31</v>
      </c>
      <c r="F48" s="15">
        <f>SUM($G$9:G48)</f>
        <v>7.5611111111111127</v>
      </c>
      <c r="G48" s="24">
        <f>IF(Master_Data[[#This Row],[Lectures]]="D","",Master_Data[[#This Row],[Duration (hh:mm)]])</f>
        <v>0.10208333333333335</v>
      </c>
      <c r="H48" s="2" t="s">
        <v>227</v>
      </c>
      <c r="I48" s="2">
        <v>16</v>
      </c>
      <c r="J48" s="2" t="s">
        <v>115</v>
      </c>
      <c r="K48" s="42" t="s">
        <v>212</v>
      </c>
      <c r="L48" s="262">
        <v>1</v>
      </c>
      <c r="M48" s="16">
        <v>4</v>
      </c>
      <c r="N48" s="41">
        <v>1</v>
      </c>
      <c r="O48" s="41">
        <v>1</v>
      </c>
      <c r="P48" s="41">
        <v>1</v>
      </c>
      <c r="Q48" s="41">
        <v>3</v>
      </c>
      <c r="R48" s="41">
        <v>3</v>
      </c>
      <c r="S48" s="41">
        <v>3</v>
      </c>
      <c r="T48" s="13">
        <v>0.10208333333333335</v>
      </c>
      <c r="U48" s="40">
        <f>(SUM($T$9:T48)/$T$4)*100</f>
        <v>94.448299791811252</v>
      </c>
      <c r="V48" s="25" t="s">
        <v>6</v>
      </c>
      <c r="W48" s="25" t="s">
        <v>6</v>
      </c>
      <c r="X48" s="25" t="s">
        <v>6</v>
      </c>
      <c r="Y48" s="25" t="s">
        <v>6</v>
      </c>
      <c r="Z48" s="25" t="s">
        <v>6</v>
      </c>
      <c r="AA48" s="25" t="s">
        <v>6</v>
      </c>
      <c r="AB48" s="25" t="s">
        <v>6</v>
      </c>
      <c r="AC48" s="25" t="s">
        <v>6</v>
      </c>
      <c r="AD48" s="153">
        <v>2</v>
      </c>
      <c r="AE48" s="17"/>
      <c r="AF48" s="168">
        <f t="shared" si="0"/>
        <v>1.8749999999999999E-2</v>
      </c>
      <c r="AG48" s="169">
        <f>Master_Data[[#This Row],[Imp. Level]]/SUMIF(Master_Data[Subject],Master_Data[[#This Row],[Subject]],Master_Data[Imp. Level])</f>
        <v>0.2</v>
      </c>
      <c r="AH48" s="151">
        <f>Master_Data[[#This Row],[Subjectwise weights]]*Master_Data[[#This Row],[Confidence Level]]</f>
        <v>0.4</v>
      </c>
      <c r="AI48" s="152" t="str">
        <f>IF(AND(Master_Data[[#This Row],[Inst. EOC Ques.]]="D",Master_Data[[#This Row],[Prac. Book]]="D"),"D","U")</f>
        <v>U</v>
      </c>
      <c r="AJ48" s="149" t="str">
        <f>IF(AND(Master_Data[[#This Row],[Inst. Online Portal]]="D",Master_Data[[#This Row],[Schweser Prac. Bk 1]]="D",Master_Data[[#This Row],[Schweser Prac. Bk 2]]="D"),"D","U")</f>
        <v>U</v>
      </c>
    </row>
    <row r="49" spans="2:36" ht="29.25" customHeight="1" x14ac:dyDescent="0.3">
      <c r="B49" s="3">
        <v>41</v>
      </c>
      <c r="C49" s="175" t="str">
        <f ca="1">IF(Master_Data[[#This Row],[Column1]]="Done","",IF(Master_Data[[#This Row],[Column1]]=MIN(Master_Data[Column1]),"Current Week",CONCATENATE("Week ",Master_Data[[#This Row],[Column1]])))</f>
        <v>Week 32</v>
      </c>
      <c r="D49" s="3">
        <f ca="1">IF(Master_Data[[#This Row],[Cum. Undone hrs]]=0,"Done",ROUNDUP(Master_Data[[#This Row],[Cum. Undone hrs]]/Working!$C$8,0))</f>
        <v>32</v>
      </c>
      <c r="E49" s="3">
        <f ca="1">IF(OR(D49=D48,D49=D48+1),Master_Data[[#This Row],[Column1]],D49-1)</f>
        <v>32</v>
      </c>
      <c r="F49" s="15">
        <f>SUM($G$9:G49)</f>
        <v>7.8548611111111128</v>
      </c>
      <c r="G49" s="24">
        <f>IF(Master_Data[[#This Row],[Lectures]]="D","",Master_Data[[#This Row],[Duration (hh:mm)]])</f>
        <v>0.29375000000000001</v>
      </c>
      <c r="H49" s="2" t="s">
        <v>227</v>
      </c>
      <c r="I49" s="2">
        <v>17</v>
      </c>
      <c r="J49" s="2" t="s">
        <v>115</v>
      </c>
      <c r="K49" s="42" t="s">
        <v>213</v>
      </c>
      <c r="L49" s="262">
        <v>1</v>
      </c>
      <c r="M49" s="16">
        <v>6</v>
      </c>
      <c r="N49" s="41">
        <v>4</v>
      </c>
      <c r="O49" s="41">
        <v>4</v>
      </c>
      <c r="P49" s="41">
        <v>4</v>
      </c>
      <c r="Q49" s="41">
        <v>3</v>
      </c>
      <c r="R49" s="41">
        <v>5</v>
      </c>
      <c r="S49" s="41">
        <v>4</v>
      </c>
      <c r="T49" s="13">
        <v>0.29375000000000001</v>
      </c>
      <c r="U49" s="40">
        <f>(SUM($T$9:T49)/$T$4)*100</f>
        <v>98.117626648161007</v>
      </c>
      <c r="V49" s="25" t="s">
        <v>6</v>
      </c>
      <c r="W49" s="25" t="s">
        <v>6</v>
      </c>
      <c r="X49" s="25" t="s">
        <v>6</v>
      </c>
      <c r="Y49" s="25" t="s">
        <v>6</v>
      </c>
      <c r="Z49" s="25" t="s">
        <v>6</v>
      </c>
      <c r="AA49" s="25" t="s">
        <v>6</v>
      </c>
      <c r="AB49" s="25" t="s">
        <v>6</v>
      </c>
      <c r="AC49" s="25" t="s">
        <v>6</v>
      </c>
      <c r="AD49" s="153">
        <v>3</v>
      </c>
      <c r="AE49" s="17"/>
      <c r="AF49" s="168">
        <f t="shared" si="0"/>
        <v>3.125E-2</v>
      </c>
      <c r="AG49" s="169">
        <f>Master_Data[[#This Row],[Imp. Level]]/SUMIF(Master_Data[Subject],Master_Data[[#This Row],[Subject]],Master_Data[Imp. Level])</f>
        <v>0.33333333333333331</v>
      </c>
      <c r="AH49" s="151">
        <f>Master_Data[[#This Row],[Subjectwise weights]]*Master_Data[[#This Row],[Confidence Level]]</f>
        <v>1</v>
      </c>
      <c r="AI49" s="152" t="str">
        <f>IF(AND(Master_Data[[#This Row],[Inst. EOC Ques.]]="D",Master_Data[[#This Row],[Prac. Book]]="D"),"D","U")</f>
        <v>U</v>
      </c>
      <c r="AJ49" s="149" t="str">
        <f>IF(AND(Master_Data[[#This Row],[Inst. Online Portal]]="D",Master_Data[[#This Row],[Schweser Prac. Bk 1]]="D",Master_Data[[#This Row],[Schweser Prac. Bk 2]]="D"),"D","U")</f>
        <v>U</v>
      </c>
    </row>
    <row r="50" spans="2:36" ht="29.25" customHeight="1" x14ac:dyDescent="0.3">
      <c r="B50" s="3">
        <v>42</v>
      </c>
      <c r="C50" s="175" t="str">
        <f ca="1">IF(Master_Data[[#This Row],[Column1]]="Done","",IF(Master_Data[[#This Row],[Column1]]=MIN(Master_Data[Column1]),"Current Week",CONCATENATE("Week ",Master_Data[[#This Row],[Column1]])))</f>
        <v>Week 33</v>
      </c>
      <c r="D50" s="3">
        <f ca="1">IF(Master_Data[[#This Row],[Cum. Undone hrs]]=0,"Done",ROUNDUP(Master_Data[[#This Row],[Cum. Undone hrs]]/Working!$C$8,0))</f>
        <v>33</v>
      </c>
      <c r="E50" s="3">
        <f ca="1">IF(OR(D50=D49,D50=D49+1),Master_Data[[#This Row],[Column1]],D50-1)</f>
        <v>33</v>
      </c>
      <c r="F50" s="15">
        <f>SUM($G$9:G50)</f>
        <v>8.0055555555555564</v>
      </c>
      <c r="G50" s="24">
        <f>IF(Master_Data[[#This Row],[Lectures]]="D","",Master_Data[[#This Row],[Duration (hh:mm)]])</f>
        <v>0.15069444444444444</v>
      </c>
      <c r="H50" s="2" t="s">
        <v>227</v>
      </c>
      <c r="I50" s="2">
        <v>18</v>
      </c>
      <c r="J50" s="2" t="s">
        <v>115</v>
      </c>
      <c r="K50" s="42" t="s">
        <v>207</v>
      </c>
      <c r="L50" s="262">
        <v>1</v>
      </c>
      <c r="M50" s="16">
        <v>7</v>
      </c>
      <c r="N50" s="41">
        <v>4</v>
      </c>
      <c r="O50" s="41">
        <v>2</v>
      </c>
      <c r="P50" s="41">
        <v>3</v>
      </c>
      <c r="Q50" s="41">
        <v>2</v>
      </c>
      <c r="R50" s="41">
        <v>4</v>
      </c>
      <c r="S50" s="41">
        <v>4</v>
      </c>
      <c r="T50" s="11">
        <v>0.15069444444444444</v>
      </c>
      <c r="U50" s="40">
        <f>(SUM($T$9:T50)/$T$4)*100</f>
        <v>100</v>
      </c>
      <c r="V50" s="25" t="s">
        <v>6</v>
      </c>
      <c r="W50" s="25" t="s">
        <v>6</v>
      </c>
      <c r="X50" s="25" t="s">
        <v>6</v>
      </c>
      <c r="Y50" s="25" t="s">
        <v>6</v>
      </c>
      <c r="Z50" s="25" t="s">
        <v>6</v>
      </c>
      <c r="AA50" s="25" t="s">
        <v>6</v>
      </c>
      <c r="AB50" s="25" t="s">
        <v>6</v>
      </c>
      <c r="AC50" s="25" t="s">
        <v>6</v>
      </c>
      <c r="AD50" s="153">
        <v>2</v>
      </c>
      <c r="AE50" s="17"/>
      <c r="AF50" s="168">
        <f t="shared" si="0"/>
        <v>2.5000000000000001E-2</v>
      </c>
      <c r="AG50" s="169">
        <f>Master_Data[[#This Row],[Imp. Level]]/SUMIF(Master_Data[Subject],Master_Data[[#This Row],[Subject]],Master_Data[Imp. Level])</f>
        <v>0.26666666666666666</v>
      </c>
      <c r="AH50" s="151">
        <f>Master_Data[[#This Row],[Subjectwise weights]]*Master_Data[[#This Row],[Confidence Level]]</f>
        <v>0.53333333333333333</v>
      </c>
      <c r="AI50" s="152" t="str">
        <f>IF(AND(Master_Data[[#This Row],[Inst. EOC Ques.]]="D",Master_Data[[#This Row],[Prac. Book]]="D"),"D","U")</f>
        <v>U</v>
      </c>
      <c r="AJ50" s="149" t="str">
        <f>IF(AND(Master_Data[[#This Row],[Inst. Online Portal]]="D",Master_Data[[#This Row],[Schweser Prac. Bk 1]]="D",Master_Data[[#This Row],[Schweser Prac. Bk 2]]="D"),"D","U")</f>
        <v>U</v>
      </c>
    </row>
  </sheetData>
  <sheetProtection algorithmName="SHA-512" hashValue="Rtc/dgqAHDJkSUQiA7f+LAA3hfews1wS+ykEdr4U1mNZgXWaiB/+1rTGas+lP+gy2kDYjcyvfOavQsqaNGnEOQ==" saltValue="Mgp3gqHxanleSAA6gH6nLA==" spinCount="100000" sheet="1" selectLockedCells="1"/>
  <mergeCells count="3">
    <mergeCell ref="B4:Q5"/>
    <mergeCell ref="R4:S4"/>
    <mergeCell ref="R5:S5"/>
  </mergeCells>
  <phoneticPr fontId="31" type="noConversion"/>
  <conditionalFormatting sqref="C9:C50">
    <cfRule type="containsText" dxfId="57" priority="5" operator="containsText" text="Current Week">
      <formula>NOT(ISERROR(SEARCH("Current Week",C9)))</formula>
    </cfRule>
  </conditionalFormatting>
  <conditionalFormatting sqref="K9:L50">
    <cfRule type="expression" dxfId="56" priority="29">
      <formula>$J9="changes"</formula>
    </cfRule>
    <cfRule type="expression" dxfId="55" priority="30">
      <formula>$J9="new"</formula>
    </cfRule>
  </conditionalFormatting>
  <conditionalFormatting sqref="M9:M50">
    <cfRule type="colorScale" priority="231">
      <colorScale>
        <cfvo type="min"/>
        <cfvo type="max"/>
        <color theme="2" tint="-9.9978637043366805E-2"/>
        <color theme="2" tint="-0.749992370372631"/>
      </colorScale>
    </cfRule>
  </conditionalFormatting>
  <conditionalFormatting sqref="N9:S50">
    <cfRule type="colorScale" priority="233">
      <colorScale>
        <cfvo type="min"/>
        <cfvo type="max"/>
        <color theme="0"/>
        <color theme="0" tint="-0.14999847407452621"/>
      </colorScale>
    </cfRule>
  </conditionalFormatting>
  <conditionalFormatting sqref="T4:T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50">
    <cfRule type="colorScale" priority="235">
      <colorScale>
        <cfvo type="min"/>
        <cfvo type="max"/>
        <color theme="0"/>
        <color theme="7" tint="0.39997558519241921"/>
      </colorScale>
    </cfRule>
  </conditionalFormatting>
  <conditionalFormatting sqref="U4:U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50">
    <cfRule type="dataBar" priority="237">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V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C50">
    <cfRule type="containsText" dxfId="54" priority="13" operator="containsText" text="D">
      <formula>NOT(ISERROR(SEARCH("D",V9)))</formula>
    </cfRule>
    <cfRule type="containsText" dxfId="53" priority="14" operator="containsText" text="U">
      <formula>NOT(ISERROR(SEARCH("U",V9)))</formula>
    </cfRule>
  </conditionalFormatting>
  <conditionalFormatting sqref="W4:W5">
    <cfRule type="dataBar" priority="24">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X4:X5">
    <cfRule type="dataBar" priority="23">
      <dataBar>
        <cfvo type="min"/>
        <cfvo type="max"/>
        <color theme="0" tint="-0.14999847407452621"/>
      </dataBar>
      <extLst>
        <ext xmlns:x14="http://schemas.microsoft.com/office/spreadsheetml/2009/9/main" uri="{B025F937-C7B1-47D3-B67F-A62EFF666E3E}">
          <x14:id>{4265BF65-A0B5-4DF7-B865-7BD036217E09}</x14:id>
        </ext>
      </extLst>
    </cfRule>
  </conditionalFormatting>
  <conditionalFormatting sqref="Y4:Y5">
    <cfRule type="dataBar" priority="22">
      <dataBar>
        <cfvo type="min"/>
        <cfvo type="max"/>
        <color theme="0" tint="-0.14999847407452621"/>
      </dataBar>
      <extLst>
        <ext xmlns:x14="http://schemas.microsoft.com/office/spreadsheetml/2009/9/main" uri="{B025F937-C7B1-47D3-B67F-A62EFF666E3E}">
          <x14:id>{9BE8110B-EB62-4E75-A581-7C36645F8D08}</x14:id>
        </ext>
      </extLst>
    </cfRule>
  </conditionalFormatting>
  <conditionalFormatting sqref="Z4:Z5">
    <cfRule type="dataBar" priority="21">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AA4:AA5">
    <cfRule type="dataBar" priority="20">
      <dataBar>
        <cfvo type="min"/>
        <cfvo type="max"/>
        <color theme="0" tint="-0.14999847407452621"/>
      </dataBar>
      <extLst>
        <ext xmlns:x14="http://schemas.microsoft.com/office/spreadsheetml/2009/9/main" uri="{B025F937-C7B1-47D3-B67F-A62EFF666E3E}">
          <x14:id>{20181D46-869C-471E-A172-D176686E8640}</x14:id>
        </ext>
      </extLst>
    </cfRule>
  </conditionalFormatting>
  <conditionalFormatting sqref="AB4:AB5">
    <cfRule type="dataBar" priority="18">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AC4:AC5">
    <cfRule type="dataBar" priority="17">
      <dataBar>
        <cfvo type="min"/>
        <cfvo type="max"/>
        <color theme="0" tint="-0.14999847407452621"/>
      </dataBar>
      <extLst>
        <ext xmlns:x14="http://schemas.microsoft.com/office/spreadsheetml/2009/9/main" uri="{B025F937-C7B1-47D3-B67F-A62EFF666E3E}">
          <x14:id>{7D297F2C-EECD-492F-B384-F2E5B1B705BF}</x14:id>
        </ext>
      </extLst>
    </cfRule>
  </conditionalFormatting>
  <conditionalFormatting sqref="AD4:AD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D9:AD50">
    <cfRule type="colorScale" priority="239">
      <colorScale>
        <cfvo type="min"/>
        <cfvo type="max"/>
        <color theme="0"/>
        <color theme="0" tint="-0.14999847407452621"/>
      </colorScale>
    </cfRule>
  </conditionalFormatting>
  <conditionalFormatting sqref="AG9:AG50">
    <cfRule type="expression" dxfId="52" priority="7">
      <formula>#REF!="C"</formula>
    </cfRule>
    <cfRule type="expression" dxfId="51" priority="8">
      <formula>#REF!="B"</formula>
    </cfRule>
    <cfRule type="expression" dxfId="50" priority="9">
      <formula>#REF!="A"</formula>
    </cfRule>
  </conditionalFormatting>
  <dataValidations count="2">
    <dataValidation type="whole" allowBlank="1" showInputMessage="1" showErrorMessage="1" errorTitle="Confidence Level" error="Please Rate your Confidence Level on the Scale of 1-5." sqref="AD9:AD50" xr:uid="{6CB7B2CB-1406-4433-95D0-2AC9E3606557}">
      <formula1>1</formula1>
      <formula2>5</formula2>
    </dataValidation>
    <dataValidation type="list" allowBlank="1" showInputMessage="1" sqref="V9:AC50"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U9:U50</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4265BF65-A0B5-4DF7-B865-7BD036217E09}">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9BE8110B-EB62-4E75-A581-7C36645F8D08}">
            <x14:dataBar minLength="0" maxLength="100" gradient="0">
              <x14:cfvo type="autoMin"/>
              <x14:cfvo type="autoMax"/>
              <x14:negativeFillColor rgb="FFFF0000"/>
              <x14:axisColor rgb="FF000000"/>
            </x14:dataBar>
          </x14:cfRule>
          <xm:sqref>Y4:Y5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Z4:Z5</xm:sqref>
        </x14:conditionalFormatting>
        <x14:conditionalFormatting xmlns:xm="http://schemas.microsoft.com/office/excel/2006/main">
          <x14:cfRule type="dataBar" id="{20181D46-869C-471E-A172-D176686E8640}">
            <x14:dataBar minLength="0" maxLength="100" gradient="0">
              <x14:cfvo type="autoMin"/>
              <x14:cfvo type="autoMax"/>
              <x14:negativeFillColor rgb="FFFF0000"/>
              <x14:axisColor rgb="FF000000"/>
            </x14:dataBar>
          </x14:cfRule>
          <xm:sqref>AA4:AA5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AB4:AB5</xm:sqref>
        </x14:conditionalFormatting>
        <x14:conditionalFormatting xmlns:xm="http://schemas.microsoft.com/office/excel/2006/main">
          <x14:cfRule type="dataBar" id="{7D297F2C-EECD-492F-B384-F2E5B1B705BF}">
            <x14:dataBar minLength="0" maxLength="100" gradient="0">
              <x14:cfvo type="autoMin"/>
              <x14:cfvo type="autoMax"/>
              <x14:negativeFillColor rgb="FFFF0000"/>
              <x14:axisColor rgb="FF000000"/>
            </x14:dataBar>
          </x14:cfRule>
          <xm:sqref>AC4:AC5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AD4:AD5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L91"/>
  <sheetViews>
    <sheetView showGridLines="0" zoomScale="70" zoomScaleNormal="70" workbookViewId="0">
      <selection activeCell="D39" sqref="D39"/>
    </sheetView>
  </sheetViews>
  <sheetFormatPr defaultColWidth="9.1796875" defaultRowHeight="15.5" x14ac:dyDescent="0.35"/>
  <cols>
    <col min="1" max="1" width="9.1796875" style="26"/>
    <col min="2" max="2" width="3.453125" style="26" customWidth="1"/>
    <col min="3" max="3" width="23.81640625" style="26" customWidth="1"/>
    <col min="4" max="4" width="12.1796875" style="26" customWidth="1"/>
    <col min="5" max="5" width="9.81640625" style="26" customWidth="1"/>
    <col min="6" max="6" width="11.7265625" style="26" customWidth="1"/>
    <col min="7" max="7" width="10.54296875" style="26" customWidth="1"/>
    <col min="8" max="8" width="10.7265625" style="26" customWidth="1"/>
    <col min="9" max="12" width="10.7265625" style="27" customWidth="1"/>
    <col min="13" max="13" width="12.26953125" style="27" customWidth="1"/>
    <col min="14" max="14" width="10.54296875" style="26" customWidth="1"/>
    <col min="15" max="15" width="9.1796875" style="28"/>
    <col min="16" max="16" width="10.26953125" style="28" customWidth="1"/>
    <col min="17" max="17" width="12" style="28" customWidth="1"/>
    <col min="18" max="18" width="4.453125" style="28" customWidth="1"/>
    <col min="19" max="19" width="11.54296875" style="28" customWidth="1"/>
    <col min="20" max="20" width="17.1796875" style="28" bestFit="1" customWidth="1"/>
    <col min="21" max="28" width="9.1796875" style="28"/>
    <col min="29" max="16384" width="9.1796875" style="26"/>
  </cols>
  <sheetData>
    <row r="1" spans="2:22" ht="8.5" customHeight="1" x14ac:dyDescent="0.35"/>
    <row r="2" spans="2:22" s="74" customFormat="1" ht="15.75" customHeight="1" x14ac:dyDescent="0.35">
      <c r="C2" s="280" t="s">
        <v>8</v>
      </c>
      <c r="D2" s="280"/>
      <c r="E2" s="280"/>
      <c r="F2" s="280"/>
      <c r="G2" s="280"/>
      <c r="H2" s="280"/>
      <c r="I2" s="280"/>
      <c r="J2" s="280"/>
      <c r="K2" s="280"/>
      <c r="L2" s="280"/>
      <c r="M2" s="280"/>
      <c r="N2" s="280"/>
    </row>
    <row r="3" spans="2:22" s="74" customFormat="1" ht="11.5" customHeight="1" x14ac:dyDescent="0.35">
      <c r="C3" s="280"/>
      <c r="D3" s="280"/>
      <c r="E3" s="280"/>
      <c r="F3" s="280"/>
      <c r="G3" s="280"/>
      <c r="H3" s="280"/>
      <c r="I3" s="280"/>
      <c r="J3" s="280"/>
      <c r="K3" s="280"/>
      <c r="L3" s="280"/>
      <c r="M3" s="280"/>
      <c r="N3" s="280"/>
    </row>
    <row r="4" spans="2:22" s="28" customFormat="1" ht="11.5" customHeight="1" x14ac:dyDescent="0.35">
      <c r="C4" s="53"/>
      <c r="D4" s="53"/>
      <c r="E4" s="53"/>
      <c r="F4" s="53"/>
      <c r="G4" s="53"/>
      <c r="H4" s="53"/>
      <c r="I4" s="53"/>
      <c r="J4" s="53"/>
      <c r="K4" s="53"/>
      <c r="L4" s="53"/>
      <c r="M4" s="53"/>
      <c r="N4" s="53"/>
    </row>
    <row r="5" spans="2:22" s="28" customFormat="1" ht="11.5" customHeight="1" x14ac:dyDescent="0.35">
      <c r="B5" s="288" t="str">
        <f>CONCATENATE("The graph below, with respect to the practice is a simple average of the ",'⏱ Input'!X8," and ",'⏱ Input'!Y8," and extra practice is a simple average of the ",'⏱ Input'!AA8,", ",'⏱ Input'!AB8," and ",'⏱ Input'!AC8,".")</f>
        <v>The graph below, with respect to the practice is a simple average of the Inst. EOC Ques. and Prac. Book and extra practice is a simple average of the Inst. Online Portal, Schweser Prac. Bk 1 and Schweser Prac. Bk 2.</v>
      </c>
      <c r="C5" s="288"/>
      <c r="D5" s="288"/>
      <c r="E5" s="288"/>
      <c r="F5" s="288"/>
      <c r="G5" s="288"/>
      <c r="H5" s="288"/>
      <c r="I5" s="288"/>
      <c r="J5" s="288"/>
      <c r="K5" s="288"/>
      <c r="L5" s="288"/>
      <c r="M5" s="288"/>
      <c r="N5" s="288"/>
      <c r="O5" s="288"/>
      <c r="P5" s="288"/>
      <c r="Q5" s="54"/>
      <c r="R5" s="54"/>
      <c r="S5" s="54"/>
      <c r="T5" s="54"/>
      <c r="U5" s="54"/>
      <c r="V5" s="54"/>
    </row>
    <row r="6" spans="2:22" s="28" customFormat="1" ht="32.5" customHeight="1" x14ac:dyDescent="0.35">
      <c r="B6" s="288"/>
      <c r="C6" s="288"/>
      <c r="D6" s="288"/>
      <c r="E6" s="288"/>
      <c r="F6" s="288"/>
      <c r="G6" s="288"/>
      <c r="H6" s="288"/>
      <c r="I6" s="288"/>
      <c r="J6" s="288"/>
      <c r="K6" s="288"/>
      <c r="L6" s="288"/>
      <c r="M6" s="288"/>
      <c r="N6" s="288"/>
      <c r="O6" s="288"/>
      <c r="P6" s="288"/>
      <c r="Q6" s="54"/>
      <c r="R6" s="54"/>
      <c r="S6" s="54"/>
      <c r="T6" s="54"/>
      <c r="U6" s="54"/>
      <c r="V6" s="54"/>
    </row>
    <row r="7" spans="2:22" s="28" customFormat="1" ht="15.75" customHeight="1" x14ac:dyDescent="0.35">
      <c r="I7" s="27"/>
      <c r="J7" s="27"/>
      <c r="K7" s="27"/>
      <c r="L7" s="27"/>
      <c r="M7" s="27"/>
      <c r="N7" s="26"/>
    </row>
    <row r="8" spans="2:22" s="28" customFormat="1" ht="15.75" customHeight="1" x14ac:dyDescent="0.35">
      <c r="H8" s="28" t="s">
        <v>171</v>
      </c>
      <c r="I8" s="27"/>
      <c r="J8" s="27"/>
      <c r="K8" s="27"/>
      <c r="L8" s="27"/>
      <c r="M8" s="27"/>
      <c r="N8" s="26"/>
    </row>
    <row r="9" spans="2:22" s="28" customFormat="1" ht="15.75" customHeight="1" x14ac:dyDescent="0.35">
      <c r="I9" s="27"/>
      <c r="J9" s="27"/>
      <c r="K9" s="27"/>
      <c r="L9" s="27"/>
      <c r="M9" s="27"/>
      <c r="N9" s="26"/>
    </row>
    <row r="10" spans="2:22" s="28" customFormat="1" ht="15.75" customHeight="1" x14ac:dyDescent="0.35">
      <c r="I10" s="27"/>
      <c r="J10" s="27"/>
      <c r="K10" s="27"/>
      <c r="L10" s="27"/>
      <c r="M10" s="27"/>
      <c r="N10" s="26"/>
      <c r="R10" s="146" t="s">
        <v>95</v>
      </c>
      <c r="S10" s="147"/>
    </row>
    <row r="11" spans="2:22" s="28" customFormat="1" ht="15.75" customHeight="1" x14ac:dyDescent="0.35">
      <c r="I11" s="27"/>
      <c r="J11" s="27"/>
      <c r="K11" s="27"/>
      <c r="L11" s="27"/>
      <c r="M11" s="27"/>
      <c r="N11" s="26"/>
      <c r="R11" s="4"/>
      <c r="S11" s="26" t="s">
        <v>19</v>
      </c>
    </row>
    <row r="12" spans="2:22" s="28" customFormat="1" ht="15.75" customHeight="1" x14ac:dyDescent="0.35">
      <c r="I12" s="27"/>
      <c r="J12" s="27"/>
      <c r="K12" s="27"/>
      <c r="L12" s="27"/>
      <c r="M12" s="27"/>
      <c r="N12" s="26"/>
      <c r="R12" s="5"/>
      <c r="S12" s="26" t="s">
        <v>18</v>
      </c>
    </row>
    <row r="13" spans="2:22" s="28" customFormat="1" ht="15.75" customHeight="1" x14ac:dyDescent="0.35">
      <c r="I13" s="27"/>
      <c r="J13" s="27"/>
      <c r="K13" s="27"/>
      <c r="L13" s="27"/>
      <c r="M13" s="27"/>
      <c r="N13" s="26"/>
      <c r="R13" s="147"/>
      <c r="S13" s="26"/>
    </row>
    <row r="14" spans="2:22" s="28" customFormat="1" ht="15.75" customHeight="1" x14ac:dyDescent="0.35">
      <c r="I14" s="27"/>
      <c r="J14" s="27"/>
      <c r="K14" s="27"/>
      <c r="L14" s="27"/>
      <c r="M14" s="27"/>
      <c r="N14" s="26"/>
      <c r="R14" s="147" t="s">
        <v>24</v>
      </c>
      <c r="S14" s="26"/>
    </row>
    <row r="15" spans="2:22" s="28" customFormat="1" ht="15.75" customHeight="1" x14ac:dyDescent="0.35">
      <c r="I15" s="27"/>
      <c r="J15" s="27"/>
      <c r="K15" s="27"/>
      <c r="L15" s="27"/>
      <c r="M15" s="27"/>
      <c r="N15" s="26"/>
      <c r="R15" s="6"/>
      <c r="S15" s="26" t="s">
        <v>19</v>
      </c>
    </row>
    <row r="16" spans="2:22" s="28" customFormat="1" ht="15.75" customHeight="1" x14ac:dyDescent="0.35">
      <c r="I16" s="27"/>
      <c r="J16" s="27"/>
      <c r="K16" s="27"/>
      <c r="L16" s="27"/>
      <c r="M16" s="27"/>
      <c r="N16" s="26"/>
      <c r="R16" s="7"/>
      <c r="S16" s="26" t="s">
        <v>18</v>
      </c>
    </row>
    <row r="17" spans="3:35" s="28" customFormat="1" ht="15.75" customHeight="1" x14ac:dyDescent="0.35">
      <c r="I17" s="27"/>
      <c r="J17" s="27"/>
      <c r="K17" s="27"/>
      <c r="L17" s="27"/>
      <c r="M17" s="27"/>
      <c r="N17" s="26"/>
      <c r="R17" s="26"/>
      <c r="S17" s="26"/>
    </row>
    <row r="18" spans="3:35" s="28" customFormat="1" ht="15.75" customHeight="1" x14ac:dyDescent="0.35">
      <c r="I18" s="27"/>
      <c r="J18" s="27"/>
      <c r="K18" s="27"/>
      <c r="L18" s="27"/>
      <c r="M18" s="27"/>
      <c r="N18" s="26"/>
      <c r="R18" s="147" t="s">
        <v>31</v>
      </c>
      <c r="S18" s="26"/>
    </row>
    <row r="19" spans="3:35" s="28" customFormat="1" ht="15.75" customHeight="1" x14ac:dyDescent="0.35">
      <c r="I19" s="27"/>
      <c r="J19" s="27"/>
      <c r="K19" s="27"/>
      <c r="L19" s="27"/>
      <c r="M19" s="27"/>
      <c r="N19" s="26"/>
      <c r="R19" s="21"/>
      <c r="S19" s="26" t="s">
        <v>19</v>
      </c>
    </row>
    <row r="20" spans="3:35" s="28" customFormat="1" ht="15.75" customHeight="1" x14ac:dyDescent="0.35">
      <c r="I20" s="27"/>
      <c r="J20" s="27"/>
      <c r="K20" s="27"/>
      <c r="L20" s="27"/>
      <c r="M20" s="27"/>
      <c r="N20" s="26"/>
      <c r="R20" s="183"/>
      <c r="S20" s="26" t="s">
        <v>18</v>
      </c>
    </row>
    <row r="21" spans="3:35" s="28" customFormat="1" ht="15.75" customHeight="1" x14ac:dyDescent="0.35">
      <c r="I21" s="27"/>
      <c r="J21" s="27"/>
      <c r="K21" s="27"/>
      <c r="L21" s="27"/>
      <c r="M21" s="27"/>
      <c r="N21" s="26"/>
      <c r="R21" s="26"/>
      <c r="S21" s="26"/>
    </row>
    <row r="22" spans="3:35" s="28" customFormat="1" ht="15.75" customHeight="1" x14ac:dyDescent="0.35">
      <c r="I22" s="27"/>
      <c r="J22" s="27"/>
      <c r="K22" s="27"/>
      <c r="L22" s="27"/>
      <c r="M22" s="27"/>
      <c r="N22" s="26"/>
      <c r="R22" s="147" t="s">
        <v>118</v>
      </c>
      <c r="S22" s="26"/>
    </row>
    <row r="23" spans="3:35" s="28" customFormat="1" ht="15.75" customHeight="1" x14ac:dyDescent="0.35">
      <c r="I23" s="27"/>
      <c r="J23" s="27"/>
      <c r="K23" s="27"/>
      <c r="L23" s="27"/>
      <c r="M23" s="27"/>
      <c r="N23" s="26"/>
      <c r="R23" s="22"/>
      <c r="S23" s="26" t="s">
        <v>19</v>
      </c>
    </row>
    <row r="24" spans="3:35" s="28" customFormat="1" ht="15.75" customHeight="1" x14ac:dyDescent="0.35">
      <c r="I24" s="27"/>
      <c r="J24" s="27"/>
      <c r="K24" s="27"/>
      <c r="L24" s="27"/>
      <c r="M24" s="27"/>
      <c r="N24" s="26"/>
      <c r="R24" s="23"/>
      <c r="S24" s="26" t="s">
        <v>18</v>
      </c>
    </row>
    <row r="25" spans="3:35" s="28" customFormat="1" ht="15.75" customHeight="1" x14ac:dyDescent="0.35">
      <c r="I25" s="27"/>
      <c r="J25" s="27"/>
      <c r="K25" s="27"/>
      <c r="L25" s="27"/>
      <c r="M25" s="27"/>
      <c r="N25" s="26"/>
      <c r="R25" s="26"/>
      <c r="S25" s="26"/>
    </row>
    <row r="26" spans="3:35" s="28" customFormat="1" ht="15.75" customHeight="1" thickBot="1" x14ac:dyDescent="0.4">
      <c r="I26" s="27"/>
      <c r="J26" s="27"/>
      <c r="K26" s="27"/>
      <c r="L26" s="27"/>
      <c r="M26" s="27"/>
      <c r="N26" s="26"/>
      <c r="R26" s="26"/>
      <c r="S26" s="278" t="s">
        <v>117</v>
      </c>
    </row>
    <row r="27" spans="3:35" s="28" customFormat="1" ht="15.75" customHeight="1" thickTop="1" x14ac:dyDescent="0.35">
      <c r="I27" s="27"/>
      <c r="J27" s="27"/>
      <c r="K27" s="27"/>
      <c r="L27" s="27"/>
      <c r="M27" s="27"/>
      <c r="N27" s="26"/>
      <c r="R27" s="177"/>
      <c r="S27" s="279"/>
    </row>
    <row r="28" spans="3:35" s="28" customFormat="1" ht="15.75" customHeight="1" x14ac:dyDescent="0.35">
      <c r="I28" s="27"/>
      <c r="J28" s="27"/>
      <c r="K28" s="27"/>
      <c r="L28" s="27"/>
      <c r="M28" s="27"/>
      <c r="N28" s="26"/>
    </row>
    <row r="29" spans="3:35" s="28" customFormat="1" ht="15.75" customHeight="1" x14ac:dyDescent="0.35">
      <c r="I29" s="27"/>
      <c r="J29" s="27"/>
      <c r="K29" s="27"/>
      <c r="L29" s="27"/>
      <c r="M29" s="27"/>
      <c r="N29" s="26"/>
    </row>
    <row r="30" spans="3:35" s="28" customFormat="1" ht="15.75" customHeight="1" x14ac:dyDescent="0.35">
      <c r="I30" s="27"/>
      <c r="J30" s="27"/>
      <c r="K30" s="27"/>
      <c r="L30" s="27"/>
      <c r="M30" s="27"/>
      <c r="N30" s="26"/>
    </row>
    <row r="31" spans="3:35" s="28" customFormat="1" ht="23.25" customHeight="1" x14ac:dyDescent="0.35">
      <c r="C31" s="282" t="s">
        <v>3</v>
      </c>
      <c r="D31" s="281" t="s">
        <v>95</v>
      </c>
      <c r="E31" s="281"/>
      <c r="F31" s="281"/>
      <c r="G31" s="286" t="s">
        <v>24</v>
      </c>
      <c r="H31" s="286"/>
      <c r="I31" s="182" t="s">
        <v>31</v>
      </c>
      <c r="J31" s="287" t="s">
        <v>118</v>
      </c>
      <c r="K31" s="287"/>
      <c r="L31" s="287"/>
      <c r="M31" s="284" t="s">
        <v>119</v>
      </c>
      <c r="N31" s="284" t="s">
        <v>16</v>
      </c>
      <c r="W31" s="27"/>
      <c r="X31" s="27"/>
      <c r="Y31" s="27"/>
      <c r="Z31" s="27"/>
      <c r="AA31" s="27"/>
      <c r="AB31" s="27"/>
      <c r="AC31" s="27"/>
      <c r="AD31" s="27"/>
      <c r="AE31" s="27"/>
    </row>
    <row r="32" spans="3:35" ht="46.5" customHeight="1" x14ac:dyDescent="0.35">
      <c r="C32" s="283"/>
      <c r="D32" s="154" t="s">
        <v>44</v>
      </c>
      <c r="E32" s="154" t="s">
        <v>39</v>
      </c>
      <c r="F32" s="154" t="s">
        <v>48</v>
      </c>
      <c r="G32" s="155" t="str">
        <f>Master_Data[[#Headers],[Inst. EOC Ques.]]</f>
        <v>Inst. EOC Ques.</v>
      </c>
      <c r="H32" s="155" t="str">
        <f>Master_Data[[#Headers],[Prac. Book]]</f>
        <v>Prac. Book</v>
      </c>
      <c r="I32" s="156" t="str">
        <f>Master_Data[[#Headers],[Revision]]</f>
        <v>Revision</v>
      </c>
      <c r="J32" s="157" t="str">
        <f>Master_Data[[#Headers],[Inst. Online Portal]]</f>
        <v>Inst. Online Portal</v>
      </c>
      <c r="K32" s="157" t="str">
        <f>Master_Data[[#Headers],[Schweser Prac. Bk 1]]</f>
        <v>Schweser Prac. Bk 1</v>
      </c>
      <c r="L32" s="157" t="str">
        <f>Master_Data[[#Headers],[Schweser Prac. Bk 2]]</f>
        <v>Schweser Prac. Bk 2</v>
      </c>
      <c r="M32" s="285"/>
      <c r="N32" s="285"/>
      <c r="O32" s="33" t="s">
        <v>25</v>
      </c>
      <c r="P32" s="33" t="s">
        <v>26</v>
      </c>
      <c r="Q32" s="33" t="s">
        <v>131</v>
      </c>
      <c r="R32" s="33" t="s">
        <v>27</v>
      </c>
      <c r="S32" s="33" t="s">
        <v>123</v>
      </c>
      <c r="T32" s="33" t="s">
        <v>124</v>
      </c>
      <c r="U32" s="33" t="s">
        <v>125</v>
      </c>
      <c r="V32" s="33"/>
      <c r="W32" s="33"/>
      <c r="X32" s="33"/>
      <c r="Y32" s="33" t="s">
        <v>20</v>
      </c>
      <c r="Z32" s="33" t="s">
        <v>21</v>
      </c>
      <c r="AA32" s="33" t="s">
        <v>22</v>
      </c>
      <c r="AB32" s="33" t="s">
        <v>23</v>
      </c>
      <c r="AC32" s="33" t="s">
        <v>126</v>
      </c>
      <c r="AD32" s="33" t="s">
        <v>127</v>
      </c>
      <c r="AE32" s="33" t="s">
        <v>124</v>
      </c>
      <c r="AF32" s="33" t="s">
        <v>128</v>
      </c>
      <c r="AG32" s="33" t="s">
        <v>129</v>
      </c>
      <c r="AH32" s="33" t="s">
        <v>130</v>
      </c>
      <c r="AI32" s="33"/>
    </row>
    <row r="33" spans="2:38" x14ac:dyDescent="0.35">
      <c r="B33" s="135">
        <v>2.5</v>
      </c>
      <c r="C33" s="158" t="s">
        <v>9</v>
      </c>
      <c r="D33" s="159">
        <f>SUMIFS(Master_Data[Duration (hh:mm)],Master_Data[Subject],'📊 Progress'!C33,Master_Data[Lectures],"d")</f>
        <v>0</v>
      </c>
      <c r="E33" s="160">
        <f>SUMIF(Master_Data[Subject],'📊 Progress'!C33,Master_Data[Duration (hh:mm)])</f>
        <v>0.90902777777777777</v>
      </c>
      <c r="F33" s="161">
        <f>SUMIFS(Master_Data[No. of chapters],Master_Data[Subject],C33,Master_Data[Self Study],"D",Master_Data[Lectures],"D")</f>
        <v>0</v>
      </c>
      <c r="G33" s="161">
        <f>SUMIFS(Master_Data[No. of chapters],Master_Data[Subject],'📊 Progress'!$C33,Master_Data[Inst. EOC Ques.],"D")</f>
        <v>0</v>
      </c>
      <c r="H33" s="161">
        <f>SUMIFS(Master_Data[No. of chapters],Master_Data[Subject],'📊 Progress'!$C33,Master_Data[Prac. Book],"D")</f>
        <v>0</v>
      </c>
      <c r="I33" s="161">
        <f>SUMIFS(Master_Data[No. of chapters],Master_Data[Subject],'📊 Progress'!$C33,Master_Data[Revision],"D")</f>
        <v>0</v>
      </c>
      <c r="J33" s="161">
        <f>SUMIFS(Master_Data[No. of chapters],Master_Data[Subject],'📊 Progress'!$C33,Master_Data[Inst. Online Portal],"D")</f>
        <v>0</v>
      </c>
      <c r="K33" s="161">
        <f>SUMIFS(Master_Data[No. of chapters],Master_Data[Subject],'📊 Progress'!$C33,Master_Data[Schweser Prac. Bk 1],"D")</f>
        <v>0</v>
      </c>
      <c r="L33" s="161">
        <f>SUMIFS(Master_Data[No. of chapters],Master_Data[Subject],'📊 Progress'!$C33,Master_Data[Schweser Prac. Bk 2],"D")</f>
        <v>0</v>
      </c>
      <c r="M33" s="162">
        <f>SUMIF(Master_Data[Subject],'📊 Progress'!C33,Master_Data[Subjectwise weighted average])</f>
        <v>2.1538461538461542</v>
      </c>
      <c r="N33" s="163">
        <f>SUMIFS(Master_Data[No. of chapters],Master_Data[Subject],'📊 Progress'!C33)</f>
        <v>4</v>
      </c>
      <c r="O33" s="34">
        <f t="shared" ref="O33:O42" si="0">ROUND(AVERAGE(G33:H33),0)</f>
        <v>0</v>
      </c>
      <c r="P33" s="34">
        <f t="shared" ref="P33:P42" si="1">N33-O33</f>
        <v>4</v>
      </c>
      <c r="Q33" s="34">
        <f t="shared" ref="Q33:Q42" si="2">F33</f>
        <v>0</v>
      </c>
      <c r="R33" s="34">
        <f t="shared" ref="R33:R42" si="3">N33-F33</f>
        <v>4</v>
      </c>
      <c r="S33" s="34">
        <f t="shared" ref="S33:S42" si="4">N33-I33</f>
        <v>4</v>
      </c>
      <c r="T33" s="34">
        <f t="shared" ref="T33:T42" si="5">ROUND(AVERAGE(J33:L33),0)</f>
        <v>0</v>
      </c>
      <c r="U33" s="34">
        <f t="shared" ref="U33:U42" si="6">N33-T33</f>
        <v>4</v>
      </c>
      <c r="V33" s="33"/>
      <c r="W33" s="33"/>
      <c r="X33" s="33" t="str">
        <f t="shared" ref="X33:X42" si="7">C33</f>
        <v>Quants</v>
      </c>
      <c r="Y33" s="77">
        <f t="shared" ref="Y33:Y42" si="8">(F33/N33)</f>
        <v>0</v>
      </c>
      <c r="Z33" s="77">
        <v>1</v>
      </c>
      <c r="AA33" s="77" t="str">
        <f t="shared" ref="AA33:AA42" si="9">IF((O33/N33)=0,"",O33/N33)</f>
        <v/>
      </c>
      <c r="AB33" s="77">
        <v>1</v>
      </c>
      <c r="AC33" s="77">
        <f t="shared" ref="AC33:AC42" si="10">I33/N33</f>
        <v>0</v>
      </c>
      <c r="AD33" s="77">
        <v>1</v>
      </c>
      <c r="AE33" s="77" t="str">
        <f t="shared" ref="AE33:AE42" si="11">IF((T33/N33)=0,"",T33/N33)</f>
        <v/>
      </c>
      <c r="AF33" s="77">
        <v>1</v>
      </c>
      <c r="AG33" s="77">
        <f t="shared" ref="AG33:AG42" si="12">M33/5</f>
        <v>0.43076923076923085</v>
      </c>
      <c r="AH33" s="77">
        <v>1</v>
      </c>
      <c r="AI33" s="33"/>
    </row>
    <row r="34" spans="2:38" x14ac:dyDescent="0.35">
      <c r="B34" s="135">
        <v>2.5</v>
      </c>
      <c r="C34" s="158" t="s">
        <v>11</v>
      </c>
      <c r="D34" s="159">
        <f>SUMIFS(Master_Data[Duration (hh:mm)],Master_Data[Subject],'📊 Progress'!C34,Master_Data[Lectures],"d")</f>
        <v>0</v>
      </c>
      <c r="E34" s="160">
        <f>SUMIF(Master_Data[Subject],'📊 Progress'!C34,Master_Data[Duration (hh:mm)])</f>
        <v>0.50902777777777775</v>
      </c>
      <c r="F34" s="161">
        <f>SUMIFS(Master_Data[No. of chapters],Master_Data[Subject],C34,Master_Data[Self Study],"D",Master_Data[Lectures],"D")</f>
        <v>0</v>
      </c>
      <c r="G34" s="161">
        <f>SUMIFS(Master_Data[No. of chapters],Master_Data[Subject],'📊 Progress'!$C34,Master_Data[Inst. EOC Ques.],"D")</f>
        <v>0</v>
      </c>
      <c r="H34" s="161">
        <f>SUMIFS(Master_Data[No. of chapters],Master_Data[Subject],'📊 Progress'!$C34,Master_Data[Prac. Book],"D")</f>
        <v>0</v>
      </c>
      <c r="I34" s="161">
        <f>SUMIFS(Master_Data[No. of chapters],Master_Data[Subject],'📊 Progress'!$C34,Master_Data[Revision],"D")</f>
        <v>0</v>
      </c>
      <c r="J34" s="161">
        <f>SUMIFS(Master_Data[No. of chapters],Master_Data[Subject],'📊 Progress'!$C34,Master_Data[Inst. Online Portal],"D")</f>
        <v>0</v>
      </c>
      <c r="K34" s="161">
        <f>SUMIFS(Master_Data[No. of chapters],Master_Data[Subject],'📊 Progress'!$C34,Master_Data[Schweser Prac. Bk 1],"D")</f>
        <v>0</v>
      </c>
      <c r="L34" s="161">
        <f>SUMIFS(Master_Data[No. of chapters],Master_Data[Subject],'📊 Progress'!$C34,Master_Data[Schweser Prac. Bk 2],"D")</f>
        <v>0</v>
      </c>
      <c r="M34" s="162">
        <f>SUMIF(Master_Data[Subject],'📊 Progress'!C34,Master_Data[Subjectwise weighted average])</f>
        <v>2.4545454545454546</v>
      </c>
      <c r="N34" s="163">
        <f>SUMIFS(Master_Data[No. of chapters],Master_Data[Subject],'📊 Progress'!C34)</f>
        <v>3</v>
      </c>
      <c r="O34" s="34">
        <f t="shared" si="0"/>
        <v>0</v>
      </c>
      <c r="P34" s="34">
        <f t="shared" si="1"/>
        <v>3</v>
      </c>
      <c r="Q34" s="34">
        <f t="shared" si="2"/>
        <v>0</v>
      </c>
      <c r="R34" s="34">
        <f t="shared" si="3"/>
        <v>3</v>
      </c>
      <c r="S34" s="34">
        <f t="shared" si="4"/>
        <v>3</v>
      </c>
      <c r="T34" s="34">
        <f t="shared" si="5"/>
        <v>0</v>
      </c>
      <c r="U34" s="34">
        <f t="shared" si="6"/>
        <v>3</v>
      </c>
      <c r="V34" s="33"/>
      <c r="W34" s="33"/>
      <c r="X34" s="33" t="str">
        <f t="shared" si="7"/>
        <v>Economics</v>
      </c>
      <c r="Y34" s="77">
        <f t="shared" si="8"/>
        <v>0</v>
      </c>
      <c r="Z34" s="77">
        <v>1</v>
      </c>
      <c r="AA34" s="77" t="str">
        <f t="shared" si="9"/>
        <v/>
      </c>
      <c r="AB34" s="77">
        <v>1</v>
      </c>
      <c r="AC34" s="77">
        <f t="shared" si="10"/>
        <v>0</v>
      </c>
      <c r="AD34" s="77">
        <v>1</v>
      </c>
      <c r="AE34" s="77" t="str">
        <f t="shared" si="11"/>
        <v/>
      </c>
      <c r="AF34" s="77">
        <v>1</v>
      </c>
      <c r="AG34" s="77">
        <f t="shared" si="12"/>
        <v>0.49090909090909091</v>
      </c>
      <c r="AH34" s="77">
        <v>1</v>
      </c>
      <c r="AI34" s="33"/>
    </row>
    <row r="35" spans="2:38" x14ac:dyDescent="0.35">
      <c r="B35" s="135">
        <v>2.5</v>
      </c>
      <c r="C35" s="158" t="s">
        <v>226</v>
      </c>
      <c r="D35" s="159">
        <f>SUMIFS(Master_Data[Duration (hh:mm)],Master_Data[Subject],'📊 Progress'!C35,Master_Data[Lectures],"d")</f>
        <v>0</v>
      </c>
      <c r="E35" s="160">
        <f>SUMIF(Master_Data[Subject],'📊 Progress'!C35,Master_Data[Duration (hh:mm)])</f>
        <v>1.1916666666666667</v>
      </c>
      <c r="F35" s="161">
        <f>SUMIFS(Master_Data[No. of chapters],Master_Data[Subject],C35,Master_Data[Self Study],"D",Master_Data[Lectures],"D")</f>
        <v>0</v>
      </c>
      <c r="G35" s="161">
        <f>SUMIFS(Master_Data[No. of chapters],Master_Data[Subject],'📊 Progress'!$C35,Master_Data[Inst. EOC Ques.],"D")</f>
        <v>0</v>
      </c>
      <c r="H35" s="161">
        <f>SUMIFS(Master_Data[No. of chapters],Master_Data[Subject],'📊 Progress'!$C35,Master_Data[Prac. Book],"D")</f>
        <v>0</v>
      </c>
      <c r="I35" s="161">
        <f>SUMIFS(Master_Data[No. of chapters],Master_Data[Subject],'📊 Progress'!$C35,Master_Data[Revision],"D")</f>
        <v>0</v>
      </c>
      <c r="J35" s="161">
        <f>SUMIFS(Master_Data[No. of chapters],Master_Data[Subject],'📊 Progress'!$C35,Master_Data[Inst. Online Portal],"D")</f>
        <v>0</v>
      </c>
      <c r="K35" s="161">
        <f>SUMIFS(Master_Data[No. of chapters],Master_Data[Subject],'📊 Progress'!$C35,Master_Data[Schweser Prac. Bk 1],"D")</f>
        <v>0</v>
      </c>
      <c r="L35" s="161">
        <f>SUMIFS(Master_Data[No. of chapters],Master_Data[Subject],'📊 Progress'!$C35,Master_Data[Schweser Prac. Bk 2],"D")</f>
        <v>0</v>
      </c>
      <c r="M35" s="162">
        <f>SUMIF(Master_Data[Subject],'📊 Progress'!C35,Master_Data[Subjectwise weighted average])</f>
        <v>2.5416666666666665</v>
      </c>
      <c r="N35" s="163">
        <f>SUMIFS(Master_Data[No. of chapters],Master_Data[Subject],'📊 Progress'!C35)</f>
        <v>7</v>
      </c>
      <c r="O35" s="34">
        <f t="shared" si="0"/>
        <v>0</v>
      </c>
      <c r="P35" s="34">
        <f t="shared" si="1"/>
        <v>7</v>
      </c>
      <c r="Q35" s="34">
        <f t="shared" si="2"/>
        <v>0</v>
      </c>
      <c r="R35" s="34">
        <f t="shared" si="3"/>
        <v>7</v>
      </c>
      <c r="S35" s="34">
        <f t="shared" si="4"/>
        <v>7</v>
      </c>
      <c r="T35" s="34">
        <f t="shared" si="5"/>
        <v>0</v>
      </c>
      <c r="U35" s="34">
        <f t="shared" si="6"/>
        <v>7</v>
      </c>
      <c r="V35" s="33"/>
      <c r="W35" s="33"/>
      <c r="X35" s="33" t="str">
        <f t="shared" si="7"/>
        <v>FSA</v>
      </c>
      <c r="Y35" s="77">
        <f t="shared" si="8"/>
        <v>0</v>
      </c>
      <c r="Z35" s="77">
        <v>1</v>
      </c>
      <c r="AA35" s="77" t="str">
        <f t="shared" si="9"/>
        <v/>
      </c>
      <c r="AB35" s="77">
        <v>1</v>
      </c>
      <c r="AC35" s="77">
        <f t="shared" si="10"/>
        <v>0</v>
      </c>
      <c r="AD35" s="77">
        <v>1</v>
      </c>
      <c r="AE35" s="77" t="str">
        <f t="shared" si="11"/>
        <v/>
      </c>
      <c r="AF35" s="77">
        <v>1</v>
      </c>
      <c r="AG35" s="77">
        <f t="shared" si="12"/>
        <v>0.5083333333333333</v>
      </c>
      <c r="AH35" s="77">
        <v>1</v>
      </c>
      <c r="AI35" s="33"/>
    </row>
    <row r="36" spans="2:38" x14ac:dyDescent="0.35">
      <c r="B36" s="135">
        <v>2.5</v>
      </c>
      <c r="C36" s="158" t="s">
        <v>227</v>
      </c>
      <c r="D36" s="159">
        <f>SUMIFS(Master_Data[Duration (hh:mm)],Master_Data[Subject],'📊 Progress'!C36,Master_Data[Lectures],"d")</f>
        <v>0</v>
      </c>
      <c r="E36" s="160">
        <f>SUMIF(Master_Data[Subject],'📊 Progress'!C36,Master_Data[Duration (hh:mm)])</f>
        <v>0.77430555555555558</v>
      </c>
      <c r="F36" s="161">
        <f>SUMIFS(Master_Data[No. of chapters],Master_Data[Subject],C36,Master_Data[Self Study],"D",Master_Data[Lectures],"D")</f>
        <v>0</v>
      </c>
      <c r="G36" s="161">
        <f>SUMIFS(Master_Data[No. of chapters],Master_Data[Subject],'📊 Progress'!$C36,Master_Data[Inst. EOC Ques.],"D")</f>
        <v>0</v>
      </c>
      <c r="H36" s="161">
        <f>SUMIFS(Master_Data[No. of chapters],Master_Data[Subject],'📊 Progress'!$C36,Master_Data[Prac. Book],"D")</f>
        <v>0</v>
      </c>
      <c r="I36" s="161">
        <f>SUMIFS(Master_Data[No. of chapters],Master_Data[Subject],'📊 Progress'!$C36,Master_Data[Revision],"D")</f>
        <v>0</v>
      </c>
      <c r="J36" s="161">
        <f>SUMIFS(Master_Data[No. of chapters],Master_Data[Subject],'📊 Progress'!$C36,Master_Data[Inst. Online Portal],"D")</f>
        <v>0</v>
      </c>
      <c r="K36" s="161">
        <f>SUMIFS(Master_Data[No. of chapters],Master_Data[Subject],'📊 Progress'!$C36,Master_Data[Schweser Prac. Bk 1],"D")</f>
        <v>0</v>
      </c>
      <c r="L36" s="161">
        <f>SUMIFS(Master_Data[No. of chapters],Master_Data[Subject],'📊 Progress'!$C36,Master_Data[Schweser Prac. Bk 2],"D")</f>
        <v>0</v>
      </c>
      <c r="M36" s="162">
        <f>SUMIF(Master_Data[Subject],'📊 Progress'!C36,Master_Data[Subjectwise weighted average])</f>
        <v>2.3333333333333335</v>
      </c>
      <c r="N36" s="163">
        <f>SUMIFS(Master_Data[No. of chapters],Master_Data[Subject],'📊 Progress'!C36)</f>
        <v>4</v>
      </c>
      <c r="O36" s="34">
        <f t="shared" si="0"/>
        <v>0</v>
      </c>
      <c r="P36" s="34">
        <f t="shared" si="1"/>
        <v>4</v>
      </c>
      <c r="Q36" s="34">
        <f t="shared" si="2"/>
        <v>0</v>
      </c>
      <c r="R36" s="34">
        <f t="shared" si="3"/>
        <v>4</v>
      </c>
      <c r="S36" s="34">
        <f t="shared" si="4"/>
        <v>4</v>
      </c>
      <c r="T36" s="34">
        <f t="shared" si="5"/>
        <v>0</v>
      </c>
      <c r="U36" s="34">
        <f t="shared" si="6"/>
        <v>4</v>
      </c>
      <c r="V36" s="33"/>
      <c r="W36" s="33"/>
      <c r="X36" s="33" t="str">
        <f t="shared" si="7"/>
        <v>Corp Issuers</v>
      </c>
      <c r="Y36" s="77">
        <f t="shared" si="8"/>
        <v>0</v>
      </c>
      <c r="Z36" s="77">
        <v>1</v>
      </c>
      <c r="AA36" s="77" t="str">
        <f t="shared" si="9"/>
        <v/>
      </c>
      <c r="AB36" s="77">
        <v>1</v>
      </c>
      <c r="AC36" s="77">
        <f t="shared" si="10"/>
        <v>0</v>
      </c>
      <c r="AD36" s="77">
        <v>1</v>
      </c>
      <c r="AE36" s="77" t="str">
        <f t="shared" si="11"/>
        <v/>
      </c>
      <c r="AF36" s="77">
        <v>1</v>
      </c>
      <c r="AG36" s="77">
        <f t="shared" si="12"/>
        <v>0.46666666666666667</v>
      </c>
      <c r="AH36" s="77">
        <v>1</v>
      </c>
      <c r="AI36" s="33"/>
    </row>
    <row r="37" spans="2:38" x14ac:dyDescent="0.35">
      <c r="B37" s="135">
        <v>2.5</v>
      </c>
      <c r="C37" s="158" t="s">
        <v>13</v>
      </c>
      <c r="D37" s="159">
        <f>SUMIFS(Master_Data[Duration (hh:mm)],Master_Data[Subject],'📊 Progress'!C37,Master_Data[Lectures],"d")</f>
        <v>0</v>
      </c>
      <c r="E37" s="160">
        <f>SUMIF(Master_Data[Subject],'📊 Progress'!C37,Master_Data[Duration (hh:mm)])</f>
        <v>0.93611111111111112</v>
      </c>
      <c r="F37" s="161">
        <f>SUMIFS(Master_Data[No. of chapters],Master_Data[Subject],C37,Master_Data[Self Study],"D",Master_Data[Lectures],"D")</f>
        <v>0</v>
      </c>
      <c r="G37" s="161">
        <f>SUMIFS(Master_Data[No. of chapters],Master_Data[Subject],'📊 Progress'!$C37,Master_Data[Inst. EOC Ques.],"D")</f>
        <v>0</v>
      </c>
      <c r="H37" s="161">
        <f>SUMIFS(Master_Data[No. of chapters],Master_Data[Subject],'📊 Progress'!$C37,Master_Data[Prac. Book],"D")</f>
        <v>0</v>
      </c>
      <c r="I37" s="161">
        <f>SUMIFS(Master_Data[No. of chapters],Master_Data[Subject],'📊 Progress'!$C37,Master_Data[Revision],"D")</f>
        <v>0</v>
      </c>
      <c r="J37" s="161">
        <f>SUMIFS(Master_Data[No. of chapters],Master_Data[Subject],'📊 Progress'!$C37,Master_Data[Inst. Online Portal],"D")</f>
        <v>0</v>
      </c>
      <c r="K37" s="161">
        <f>SUMIFS(Master_Data[No. of chapters],Master_Data[Subject],'📊 Progress'!$C37,Master_Data[Schweser Prac. Bk 1],"D")</f>
        <v>0</v>
      </c>
      <c r="L37" s="161">
        <f>SUMIFS(Master_Data[No. of chapters],Master_Data[Subject],'📊 Progress'!$C37,Master_Data[Schweser Prac. Bk 2],"D")</f>
        <v>0</v>
      </c>
      <c r="M37" s="162">
        <f>SUMIF(Master_Data[Subject],'📊 Progress'!C37,Master_Data[Subjectwise weighted average])</f>
        <v>2.4545454545454541</v>
      </c>
      <c r="N37" s="163">
        <f>SUMIFS(Master_Data[No. of chapters],Master_Data[Subject],'📊 Progress'!C37)</f>
        <v>6</v>
      </c>
      <c r="O37" s="34">
        <f t="shared" si="0"/>
        <v>0</v>
      </c>
      <c r="P37" s="34">
        <f t="shared" si="1"/>
        <v>6</v>
      </c>
      <c r="Q37" s="34">
        <f t="shared" si="2"/>
        <v>0</v>
      </c>
      <c r="R37" s="34">
        <f t="shared" si="3"/>
        <v>6</v>
      </c>
      <c r="S37" s="34">
        <f t="shared" si="4"/>
        <v>6</v>
      </c>
      <c r="T37" s="34">
        <f t="shared" si="5"/>
        <v>0</v>
      </c>
      <c r="U37" s="34">
        <f t="shared" si="6"/>
        <v>6</v>
      </c>
      <c r="V37" s="33"/>
      <c r="W37" s="33"/>
      <c r="X37" s="33" t="str">
        <f t="shared" si="7"/>
        <v>Equity</v>
      </c>
      <c r="Y37" s="77">
        <f t="shared" si="8"/>
        <v>0</v>
      </c>
      <c r="Z37" s="77">
        <v>1</v>
      </c>
      <c r="AA37" s="77" t="str">
        <f t="shared" si="9"/>
        <v/>
      </c>
      <c r="AB37" s="77">
        <v>1</v>
      </c>
      <c r="AC37" s="77">
        <f t="shared" si="10"/>
        <v>0</v>
      </c>
      <c r="AD37" s="77">
        <v>1</v>
      </c>
      <c r="AE37" s="77" t="str">
        <f t="shared" si="11"/>
        <v/>
      </c>
      <c r="AF37" s="77">
        <v>1</v>
      </c>
      <c r="AG37" s="77">
        <f t="shared" si="12"/>
        <v>0.49090909090909085</v>
      </c>
      <c r="AH37" s="77">
        <v>1</v>
      </c>
      <c r="AI37" s="33"/>
    </row>
    <row r="38" spans="2:38" x14ac:dyDescent="0.35">
      <c r="B38" s="135">
        <v>2.5</v>
      </c>
      <c r="C38" s="158" t="s">
        <v>14</v>
      </c>
      <c r="D38" s="159">
        <f>SUMIFS(Master_Data[Duration (hh:mm)],Master_Data[Subject],'📊 Progress'!C38,Master_Data[Lectures],"d")</f>
        <v>0</v>
      </c>
      <c r="E38" s="160">
        <f>SUMIF(Master_Data[Subject],'📊 Progress'!C38,Master_Data[Duration (hh:mm)])</f>
        <v>0.95416666666666672</v>
      </c>
      <c r="F38" s="161">
        <f>SUMIFS(Master_Data[No. of chapters],Master_Data[Subject],C38,Master_Data[Self Study],"D",Master_Data[Lectures],"D")</f>
        <v>0</v>
      </c>
      <c r="G38" s="161">
        <f>SUMIFS(Master_Data[No. of chapters],Master_Data[Subject],'📊 Progress'!$C38,Master_Data[Inst. EOC Ques.],"D")</f>
        <v>0</v>
      </c>
      <c r="H38" s="161">
        <f>SUMIFS(Master_Data[No. of chapters],Master_Data[Subject],'📊 Progress'!$C38,Master_Data[Prac. Book],"D")</f>
        <v>0</v>
      </c>
      <c r="I38" s="161">
        <f>SUMIFS(Master_Data[No. of chapters],Master_Data[Subject],'📊 Progress'!$C38,Master_Data[Revision],"D")</f>
        <v>0</v>
      </c>
      <c r="J38" s="161">
        <f>SUMIFS(Master_Data[No. of chapters],Master_Data[Subject],'📊 Progress'!$C38,Master_Data[Inst. Online Portal],"D")</f>
        <v>0</v>
      </c>
      <c r="K38" s="161">
        <f>SUMIFS(Master_Data[No. of chapters],Master_Data[Subject],'📊 Progress'!$C38,Master_Data[Schweser Prac. Bk 1],"D")</f>
        <v>0</v>
      </c>
      <c r="L38" s="161">
        <f>SUMIFS(Master_Data[No. of chapters],Master_Data[Subject],'📊 Progress'!$C38,Master_Data[Schweser Prac. Bk 2],"D")</f>
        <v>0</v>
      </c>
      <c r="M38" s="162">
        <f>SUMIF(Master_Data[Subject],'📊 Progress'!C38,Master_Data[Subjectwise weighted average])</f>
        <v>2.3636363636363633</v>
      </c>
      <c r="N38" s="163">
        <f>SUMIFS(Master_Data[No. of chapters],Master_Data[Subject],'📊 Progress'!C38)</f>
        <v>5</v>
      </c>
      <c r="O38" s="34">
        <f t="shared" si="0"/>
        <v>0</v>
      </c>
      <c r="P38" s="34">
        <f t="shared" si="1"/>
        <v>5</v>
      </c>
      <c r="Q38" s="34">
        <f t="shared" si="2"/>
        <v>0</v>
      </c>
      <c r="R38" s="34">
        <f t="shared" si="3"/>
        <v>5</v>
      </c>
      <c r="S38" s="34">
        <f t="shared" si="4"/>
        <v>5</v>
      </c>
      <c r="T38" s="34">
        <f t="shared" si="5"/>
        <v>0</v>
      </c>
      <c r="U38" s="34">
        <f t="shared" si="6"/>
        <v>5</v>
      </c>
      <c r="V38" s="33"/>
      <c r="W38" s="33"/>
      <c r="X38" s="33" t="str">
        <f t="shared" si="7"/>
        <v>Fixed Income</v>
      </c>
      <c r="Y38" s="77">
        <f t="shared" si="8"/>
        <v>0</v>
      </c>
      <c r="Z38" s="77">
        <v>1</v>
      </c>
      <c r="AA38" s="77" t="str">
        <f t="shared" si="9"/>
        <v/>
      </c>
      <c r="AB38" s="77">
        <v>1</v>
      </c>
      <c r="AC38" s="77">
        <f t="shared" si="10"/>
        <v>0</v>
      </c>
      <c r="AD38" s="77">
        <v>1</v>
      </c>
      <c r="AE38" s="77" t="str">
        <f t="shared" si="11"/>
        <v/>
      </c>
      <c r="AF38" s="77">
        <v>1</v>
      </c>
      <c r="AG38" s="77">
        <f t="shared" si="12"/>
        <v>0.47272727272727266</v>
      </c>
      <c r="AH38" s="77">
        <v>1</v>
      </c>
      <c r="AI38" s="33"/>
    </row>
    <row r="39" spans="2:38" x14ac:dyDescent="0.35">
      <c r="B39" s="135">
        <v>2.5</v>
      </c>
      <c r="C39" s="158" t="s">
        <v>15</v>
      </c>
      <c r="D39" s="159">
        <f>SUMIFS(Master_Data[Duration (hh:mm)],Master_Data[Subject],'📊 Progress'!C39,Master_Data[Lectures],"d")</f>
        <v>0</v>
      </c>
      <c r="E39" s="160">
        <f>SUMIF(Master_Data[Subject],'📊 Progress'!C39,Master_Data[Duration (hh:mm)])</f>
        <v>0.82569444444444451</v>
      </c>
      <c r="F39" s="161">
        <f>SUMIFS(Master_Data[No. of chapters],Master_Data[Subject],C39,Master_Data[Self Study],"D",Master_Data[Lectures],"D")</f>
        <v>0</v>
      </c>
      <c r="G39" s="161">
        <f>SUMIFS(Master_Data[No. of chapters],Master_Data[Subject],'📊 Progress'!$C39,Master_Data[Inst. EOC Ques.],"D")</f>
        <v>0</v>
      </c>
      <c r="H39" s="161">
        <f>SUMIFS(Master_Data[No. of chapters],Master_Data[Subject],'📊 Progress'!$C39,Master_Data[Prac. Book],"D")</f>
        <v>0</v>
      </c>
      <c r="I39" s="161">
        <f>SUMIFS(Master_Data[No. of chapters],Master_Data[Subject],'📊 Progress'!$C39,Master_Data[Revision],"D")</f>
        <v>0</v>
      </c>
      <c r="J39" s="161">
        <f>SUMIFS(Master_Data[No. of chapters],Master_Data[Subject],'📊 Progress'!$C39,Master_Data[Inst. Online Portal],"D")</f>
        <v>0</v>
      </c>
      <c r="K39" s="161">
        <f>SUMIFS(Master_Data[No. of chapters],Master_Data[Subject],'📊 Progress'!$C39,Master_Data[Schweser Prac. Bk 1],"D")</f>
        <v>0</v>
      </c>
      <c r="L39" s="161">
        <f>SUMIFS(Master_Data[No. of chapters],Master_Data[Subject],'📊 Progress'!$C39,Master_Data[Schweser Prac. Bk 2],"D")</f>
        <v>0</v>
      </c>
      <c r="M39" s="162">
        <f>SUMIF(Master_Data[Subject],'📊 Progress'!C39,Master_Data[Subjectwise weighted average])</f>
        <v>2.5</v>
      </c>
      <c r="N39" s="163">
        <f>SUMIFS(Master_Data[No. of chapters],Master_Data[Subject],'📊 Progress'!C39)</f>
        <v>2</v>
      </c>
      <c r="O39" s="34">
        <f t="shared" si="0"/>
        <v>0</v>
      </c>
      <c r="P39" s="34">
        <f t="shared" si="1"/>
        <v>2</v>
      </c>
      <c r="Q39" s="34">
        <f t="shared" si="2"/>
        <v>0</v>
      </c>
      <c r="R39" s="34">
        <f t="shared" si="3"/>
        <v>2</v>
      </c>
      <c r="S39" s="34">
        <f t="shared" si="4"/>
        <v>2</v>
      </c>
      <c r="T39" s="34">
        <f t="shared" si="5"/>
        <v>0</v>
      </c>
      <c r="U39" s="34">
        <f t="shared" si="6"/>
        <v>2</v>
      </c>
      <c r="V39" s="33"/>
      <c r="W39" s="33"/>
      <c r="X39" s="33" t="str">
        <f t="shared" si="7"/>
        <v>Derivatives</v>
      </c>
      <c r="Y39" s="77">
        <f t="shared" si="8"/>
        <v>0</v>
      </c>
      <c r="Z39" s="77">
        <v>1</v>
      </c>
      <c r="AA39" s="77" t="str">
        <f t="shared" si="9"/>
        <v/>
      </c>
      <c r="AB39" s="77">
        <v>1</v>
      </c>
      <c r="AC39" s="77">
        <f t="shared" si="10"/>
        <v>0</v>
      </c>
      <c r="AD39" s="77">
        <v>1</v>
      </c>
      <c r="AE39" s="77" t="str">
        <f t="shared" si="11"/>
        <v/>
      </c>
      <c r="AF39" s="77">
        <v>1</v>
      </c>
      <c r="AG39" s="77">
        <f t="shared" si="12"/>
        <v>0.5</v>
      </c>
      <c r="AH39" s="77">
        <v>1</v>
      </c>
      <c r="AI39" s="33"/>
    </row>
    <row r="40" spans="2:38" x14ac:dyDescent="0.35">
      <c r="B40" s="135">
        <v>2.5</v>
      </c>
      <c r="C40" s="158" t="s">
        <v>224</v>
      </c>
      <c r="D40" s="159">
        <f>SUMIFS(Master_Data[Duration (hh:mm)],Master_Data[Subject],'📊 Progress'!C40,Master_Data[Lectures],"d")</f>
        <v>0</v>
      </c>
      <c r="E40" s="160">
        <f>SUMIF(Master_Data[Subject],'📊 Progress'!C40,Master_Data[Duration (hh:mm)])</f>
        <v>0.69722222222222219</v>
      </c>
      <c r="F40" s="161">
        <f>SUMIFS(Master_Data[No. of chapters],Master_Data[Subject],C40,Master_Data[Self Study],"D",Master_Data[Lectures],"D")</f>
        <v>0</v>
      </c>
      <c r="G40" s="161">
        <f>SUMIFS(Master_Data[No. of chapters],Master_Data[Subject],'📊 Progress'!$C40,Master_Data[Inst. EOC Ques.],"D")</f>
        <v>0</v>
      </c>
      <c r="H40" s="161">
        <f>SUMIFS(Master_Data[No. of chapters],Master_Data[Subject],'📊 Progress'!$C40,Master_Data[Prac. Book],"D")</f>
        <v>0</v>
      </c>
      <c r="I40" s="161">
        <f>SUMIFS(Master_Data[No. of chapters],Master_Data[Subject],'📊 Progress'!$C40,Master_Data[Revision],"D")</f>
        <v>0</v>
      </c>
      <c r="J40" s="161">
        <f>SUMIFS(Master_Data[No. of chapters],Master_Data[Subject],'📊 Progress'!$C40,Master_Data[Inst. Online Portal],"D")</f>
        <v>0</v>
      </c>
      <c r="K40" s="161">
        <f>SUMIFS(Master_Data[No. of chapters],Master_Data[Subject],'📊 Progress'!$C40,Master_Data[Schweser Prac. Bk 1],"D")</f>
        <v>0</v>
      </c>
      <c r="L40" s="161">
        <f>SUMIFS(Master_Data[No. of chapters],Master_Data[Subject],'📊 Progress'!$C40,Master_Data[Schweser Prac. Bk 2],"D")</f>
        <v>0</v>
      </c>
      <c r="M40" s="162">
        <f>SUMIF(Master_Data[Subject],'📊 Progress'!C40,Master_Data[Subjectwise weighted average])</f>
        <v>2</v>
      </c>
      <c r="N40" s="163">
        <f>SUMIFS(Master_Data[No. of chapters],Master_Data[Subject],'📊 Progress'!C40)</f>
        <v>3</v>
      </c>
      <c r="O40" s="34">
        <f t="shared" si="0"/>
        <v>0</v>
      </c>
      <c r="P40" s="34">
        <f t="shared" si="1"/>
        <v>3</v>
      </c>
      <c r="Q40" s="34">
        <f t="shared" si="2"/>
        <v>0</v>
      </c>
      <c r="R40" s="34">
        <f t="shared" si="3"/>
        <v>3</v>
      </c>
      <c r="S40" s="34">
        <f t="shared" si="4"/>
        <v>3</v>
      </c>
      <c r="T40" s="34">
        <f t="shared" si="5"/>
        <v>0</v>
      </c>
      <c r="U40" s="34">
        <f t="shared" si="6"/>
        <v>3</v>
      </c>
      <c r="V40" s="33"/>
      <c r="W40" s="33"/>
      <c r="X40" s="33" t="str">
        <f t="shared" si="7"/>
        <v>Alt. Invest.</v>
      </c>
      <c r="Y40" s="77">
        <f t="shared" si="8"/>
        <v>0</v>
      </c>
      <c r="Z40" s="77">
        <v>1</v>
      </c>
      <c r="AA40" s="77" t="str">
        <f t="shared" si="9"/>
        <v/>
      </c>
      <c r="AB40" s="77">
        <v>1</v>
      </c>
      <c r="AC40" s="77">
        <f t="shared" si="10"/>
        <v>0</v>
      </c>
      <c r="AD40" s="77">
        <v>1</v>
      </c>
      <c r="AE40" s="77" t="str">
        <f t="shared" si="11"/>
        <v/>
      </c>
      <c r="AF40" s="77">
        <v>1</v>
      </c>
      <c r="AG40" s="77">
        <f t="shared" si="12"/>
        <v>0.4</v>
      </c>
      <c r="AH40" s="77">
        <v>1</v>
      </c>
      <c r="AI40" s="33"/>
    </row>
    <row r="41" spans="2:38" x14ac:dyDescent="0.35">
      <c r="B41" s="135">
        <v>2.5</v>
      </c>
      <c r="C41" s="158" t="s">
        <v>12</v>
      </c>
      <c r="D41" s="159">
        <f>SUMIFS(Master_Data[Duration (hh:mm)],Master_Data[Subject],'📊 Progress'!C41,Master_Data[Lectures],"d")</f>
        <v>0</v>
      </c>
      <c r="E41" s="160">
        <f>SUMIF(Master_Data[Subject],'📊 Progress'!C41,Master_Data[Duration (hh:mm)])</f>
        <v>0.97152777777777777</v>
      </c>
      <c r="F41" s="161">
        <f>SUMIFS(Master_Data[No. of chapters],Master_Data[Subject],C41,Master_Data[Self Study],"D",Master_Data[Lectures],"D")</f>
        <v>0</v>
      </c>
      <c r="G41" s="161">
        <f>SUMIFS(Master_Data[No. of chapters],Master_Data[Subject],'📊 Progress'!$C41,Master_Data[Inst. EOC Ques.],"D")</f>
        <v>0</v>
      </c>
      <c r="H41" s="161">
        <f>SUMIFS(Master_Data[No. of chapters],Master_Data[Subject],'📊 Progress'!$C41,Master_Data[Prac. Book],"D")</f>
        <v>0</v>
      </c>
      <c r="I41" s="161">
        <f>SUMIFS(Master_Data[No. of chapters],Master_Data[Subject],'📊 Progress'!$C41,Master_Data[Revision],"D")</f>
        <v>0</v>
      </c>
      <c r="J41" s="161">
        <f>SUMIFS(Master_Data[No. of chapters],Master_Data[Subject],'📊 Progress'!$C41,Master_Data[Inst. Online Portal],"D")</f>
        <v>0</v>
      </c>
      <c r="K41" s="161">
        <f>SUMIFS(Master_Data[No. of chapters],Master_Data[Subject],'📊 Progress'!$C41,Master_Data[Schweser Prac. Bk 1],"D")</f>
        <v>0</v>
      </c>
      <c r="L41" s="161">
        <f>SUMIFS(Master_Data[No. of chapters],Master_Data[Subject],'📊 Progress'!$C41,Master_Data[Schweser Prac. Bk 2],"D")</f>
        <v>0</v>
      </c>
      <c r="M41" s="162">
        <f>SUMIF(Master_Data[Subject],'📊 Progress'!C41,Master_Data[Subjectwise weighted average])</f>
        <v>2.1363636363636362</v>
      </c>
      <c r="N41" s="163">
        <f>SUMIFS(Master_Data[No. of chapters],Master_Data[Subject],'📊 Progress'!C41)</f>
        <v>6</v>
      </c>
      <c r="O41" s="34">
        <f t="shared" si="0"/>
        <v>0</v>
      </c>
      <c r="P41" s="34">
        <f t="shared" si="1"/>
        <v>6</v>
      </c>
      <c r="Q41" s="34">
        <f t="shared" si="2"/>
        <v>0</v>
      </c>
      <c r="R41" s="34">
        <f t="shared" si="3"/>
        <v>6</v>
      </c>
      <c r="S41" s="34">
        <f t="shared" si="4"/>
        <v>6</v>
      </c>
      <c r="T41" s="34">
        <f t="shared" si="5"/>
        <v>0</v>
      </c>
      <c r="U41" s="34">
        <f t="shared" si="6"/>
        <v>6</v>
      </c>
      <c r="V41" s="33"/>
      <c r="W41" s="33"/>
      <c r="X41" s="33" t="str">
        <f t="shared" si="7"/>
        <v>Portfolio</v>
      </c>
      <c r="Y41" s="77">
        <f t="shared" si="8"/>
        <v>0</v>
      </c>
      <c r="Z41" s="77">
        <v>1</v>
      </c>
      <c r="AA41" s="77" t="str">
        <f t="shared" si="9"/>
        <v/>
      </c>
      <c r="AB41" s="77">
        <v>1</v>
      </c>
      <c r="AC41" s="77">
        <f t="shared" si="10"/>
        <v>0</v>
      </c>
      <c r="AD41" s="77">
        <v>1</v>
      </c>
      <c r="AE41" s="77" t="str">
        <f t="shared" si="11"/>
        <v/>
      </c>
      <c r="AF41" s="77">
        <v>1</v>
      </c>
      <c r="AG41" s="77">
        <f t="shared" si="12"/>
        <v>0.42727272727272725</v>
      </c>
      <c r="AH41" s="77">
        <v>1</v>
      </c>
      <c r="AI41" s="33"/>
    </row>
    <row r="42" spans="2:38" x14ac:dyDescent="0.35">
      <c r="B42" s="135">
        <v>2.5</v>
      </c>
      <c r="C42" s="158" t="s">
        <v>10</v>
      </c>
      <c r="D42" s="159">
        <f>SUMIFS(Master_Data[Duration (hh:mm)],Master_Data[Subject],'📊 Progress'!C42,Master_Data[Lectures],"d")</f>
        <v>0</v>
      </c>
      <c r="E42" s="160">
        <f>SUMIF(Master_Data[Subject],'📊 Progress'!C42,Master_Data[Duration (hh:mm)])</f>
        <v>0.23680555555555555</v>
      </c>
      <c r="F42" s="161">
        <f>SUMIFS(Master_Data[No. of chapters],Master_Data[Subject],C42,Master_Data[Self Study],"D",Master_Data[Lectures],"D")</f>
        <v>0</v>
      </c>
      <c r="G42" s="161">
        <f>SUMIFS(Master_Data[No. of chapters],Master_Data[Subject],'📊 Progress'!$C42,Master_Data[Inst. EOC Ques.],"D")</f>
        <v>0</v>
      </c>
      <c r="H42" s="161">
        <f>SUMIFS(Master_Data[No. of chapters],Master_Data[Subject],'📊 Progress'!$C42,Master_Data[Prac. Book],"D")</f>
        <v>0</v>
      </c>
      <c r="I42" s="161">
        <f>SUMIFS(Master_Data[No. of chapters],Master_Data[Subject],'📊 Progress'!$C42,Master_Data[Revision],"D")</f>
        <v>0</v>
      </c>
      <c r="J42" s="161">
        <f>SUMIFS(Master_Data[No. of chapters],Master_Data[Subject],'📊 Progress'!$C42,Master_Data[Inst. Online Portal],"D")</f>
        <v>0</v>
      </c>
      <c r="K42" s="161">
        <f>SUMIFS(Master_Data[No. of chapters],Master_Data[Subject],'📊 Progress'!$C42,Master_Data[Schweser Prac. Bk 1],"D")</f>
        <v>0</v>
      </c>
      <c r="L42" s="161">
        <f>SUMIFS(Master_Data[No. of chapters],Master_Data[Subject],'📊 Progress'!$C42,Master_Data[Schweser Prac. Bk 2],"D")</f>
        <v>0</v>
      </c>
      <c r="M42" s="162">
        <f>SUMIF(Master_Data[Subject],'📊 Progress'!C42,Master_Data[Subjectwise weighted average])</f>
        <v>2</v>
      </c>
      <c r="N42" s="163">
        <f>SUMIFS(Master_Data[No. of chapters],Master_Data[Subject],'📊 Progress'!C42)</f>
        <v>3</v>
      </c>
      <c r="O42" s="34">
        <f t="shared" si="0"/>
        <v>0</v>
      </c>
      <c r="P42" s="34">
        <f t="shared" si="1"/>
        <v>3</v>
      </c>
      <c r="Q42" s="34">
        <f t="shared" si="2"/>
        <v>0</v>
      </c>
      <c r="R42" s="34">
        <f t="shared" si="3"/>
        <v>3</v>
      </c>
      <c r="S42" s="34">
        <f t="shared" si="4"/>
        <v>3</v>
      </c>
      <c r="T42" s="34">
        <f t="shared" si="5"/>
        <v>0</v>
      </c>
      <c r="U42" s="34">
        <f t="shared" si="6"/>
        <v>3</v>
      </c>
      <c r="V42" s="33"/>
      <c r="W42" s="33"/>
      <c r="X42" s="33" t="str">
        <f t="shared" si="7"/>
        <v>Ethics</v>
      </c>
      <c r="Y42" s="77">
        <f t="shared" si="8"/>
        <v>0</v>
      </c>
      <c r="Z42" s="77">
        <v>1</v>
      </c>
      <c r="AA42" s="77" t="str">
        <f t="shared" si="9"/>
        <v/>
      </c>
      <c r="AB42" s="77">
        <v>1</v>
      </c>
      <c r="AC42" s="77">
        <f t="shared" si="10"/>
        <v>0</v>
      </c>
      <c r="AD42" s="77">
        <v>1</v>
      </c>
      <c r="AE42" s="77" t="str">
        <f t="shared" si="11"/>
        <v/>
      </c>
      <c r="AF42" s="77">
        <v>1</v>
      </c>
      <c r="AG42" s="77">
        <f t="shared" si="12"/>
        <v>0.4</v>
      </c>
      <c r="AH42" s="77">
        <v>1</v>
      </c>
      <c r="AI42" s="33"/>
    </row>
    <row r="43" spans="2:38" s="29" customFormat="1" ht="18" x14ac:dyDescent="0.4">
      <c r="C43" s="164" t="s">
        <v>7</v>
      </c>
      <c r="D43" s="165">
        <f t="shared" ref="D43:L43" si="13">SUM(D33:D42)</f>
        <v>0</v>
      </c>
      <c r="E43" s="165">
        <f t="shared" si="13"/>
        <v>8.0055555555555546</v>
      </c>
      <c r="F43" s="166">
        <f t="shared" si="13"/>
        <v>0</v>
      </c>
      <c r="G43" s="166">
        <f t="shared" si="13"/>
        <v>0</v>
      </c>
      <c r="H43" s="166">
        <f t="shared" si="13"/>
        <v>0</v>
      </c>
      <c r="I43" s="166">
        <f t="shared" si="13"/>
        <v>0</v>
      </c>
      <c r="J43" s="166">
        <f t="shared" si="13"/>
        <v>0</v>
      </c>
      <c r="K43" s="166">
        <f t="shared" si="13"/>
        <v>0</v>
      </c>
      <c r="L43" s="166">
        <f t="shared" si="13"/>
        <v>0</v>
      </c>
      <c r="M43" s="167">
        <f>'⏱ Input'!AD4</f>
        <v>5</v>
      </c>
      <c r="N43" s="166">
        <f>SUM(N33:N42)</f>
        <v>43</v>
      </c>
      <c r="O43" s="76"/>
      <c r="P43" s="31"/>
      <c r="Q43" s="31"/>
      <c r="R43" s="176">
        <f t="shared" ref="R43" si="14">SUM(R33:R42)</f>
        <v>43</v>
      </c>
      <c r="S43" s="35"/>
      <c r="T43" s="35"/>
      <c r="U43" s="31"/>
      <c r="V43" s="31"/>
      <c r="W43" s="32"/>
      <c r="X43" s="32"/>
      <c r="Y43" s="32"/>
      <c r="Z43" s="32"/>
      <c r="AA43" s="32"/>
      <c r="AB43" s="32"/>
      <c r="AC43" s="32"/>
      <c r="AD43" s="32"/>
      <c r="AE43" s="32"/>
      <c r="AF43" s="32"/>
      <c r="AG43" s="31"/>
      <c r="AH43" s="31"/>
    </row>
    <row r="44" spans="2:38" ht="15" customHeight="1" x14ac:dyDescent="0.35">
      <c r="C44" s="28"/>
      <c r="D44" s="28"/>
      <c r="E44" s="28"/>
      <c r="F44" s="28"/>
      <c r="G44" s="37"/>
      <c r="H44" s="28"/>
      <c r="I44" s="37"/>
      <c r="J44" s="37"/>
      <c r="K44" s="37"/>
      <c r="L44" s="37"/>
      <c r="M44" s="37"/>
      <c r="N44" s="37"/>
      <c r="O44" s="36"/>
      <c r="P44" s="36"/>
      <c r="Q44" s="36"/>
      <c r="R44" s="36"/>
      <c r="S44" s="33"/>
      <c r="T44" s="33"/>
      <c r="U44" s="33"/>
      <c r="V44" s="33"/>
      <c r="W44" s="30"/>
      <c r="X44" s="30"/>
      <c r="Y44" s="30"/>
      <c r="Z44" s="30"/>
      <c r="AA44" s="30"/>
      <c r="AB44" s="30"/>
      <c r="AC44" s="30"/>
      <c r="AD44" s="30"/>
      <c r="AE44" s="30"/>
      <c r="AF44" s="30"/>
      <c r="AG44" s="28"/>
      <c r="AH44" s="28"/>
      <c r="AI44" s="28"/>
      <c r="AJ44" s="28"/>
      <c r="AK44" s="28"/>
      <c r="AL44" s="28"/>
    </row>
    <row r="45" spans="2:38" x14ac:dyDescent="0.35">
      <c r="B45" s="28"/>
      <c r="C45" s="28"/>
      <c r="D45" s="28"/>
      <c r="E45" s="28"/>
      <c r="F45" s="28"/>
      <c r="G45" s="28"/>
      <c r="H45" s="37"/>
      <c r="W45" s="27"/>
      <c r="X45" s="27"/>
      <c r="Y45" s="27"/>
      <c r="Z45" s="27"/>
      <c r="AA45" s="27"/>
      <c r="AB45" s="27"/>
      <c r="AC45" s="27"/>
      <c r="AD45" s="27"/>
      <c r="AE45" s="27"/>
      <c r="AF45" s="28"/>
      <c r="AG45" s="28"/>
      <c r="AH45" s="28"/>
      <c r="AI45" s="28"/>
      <c r="AJ45" s="28"/>
      <c r="AK45" s="28"/>
      <c r="AL45" s="28"/>
    </row>
    <row r="46" spans="2:38" x14ac:dyDescent="0.35">
      <c r="B46" s="28"/>
      <c r="D46" s="28"/>
      <c r="E46" s="28"/>
      <c r="F46" s="28"/>
      <c r="G46" s="28"/>
      <c r="H46" s="28"/>
      <c r="W46" s="27"/>
      <c r="X46" s="27"/>
      <c r="Y46" s="27"/>
      <c r="Z46" s="27"/>
      <c r="AA46" s="27"/>
      <c r="AB46" s="27"/>
      <c r="AC46" s="27"/>
      <c r="AD46" s="27"/>
      <c r="AE46" s="27"/>
      <c r="AF46" s="28"/>
      <c r="AG46" s="28"/>
      <c r="AH46" s="28"/>
      <c r="AI46" s="28"/>
      <c r="AJ46" s="28"/>
      <c r="AK46" s="28"/>
      <c r="AL46" s="28"/>
    </row>
    <row r="47" spans="2:38" x14ac:dyDescent="0.35">
      <c r="B47" s="28"/>
      <c r="D47" s="28"/>
      <c r="E47" s="28"/>
      <c r="F47" s="28"/>
      <c r="H47" s="28"/>
      <c r="W47" s="27"/>
      <c r="X47" s="27"/>
      <c r="Y47" s="27"/>
      <c r="Z47" s="27"/>
      <c r="AA47" s="27"/>
      <c r="AB47" s="27"/>
      <c r="AC47" s="27"/>
      <c r="AD47" s="27"/>
      <c r="AE47" s="27"/>
      <c r="AF47" s="28"/>
      <c r="AG47" s="28"/>
      <c r="AH47" s="28"/>
      <c r="AI47" s="28"/>
      <c r="AJ47" s="28"/>
      <c r="AK47" s="28"/>
      <c r="AL47" s="28"/>
    </row>
    <row r="48" spans="2:38" x14ac:dyDescent="0.35">
      <c r="D48" s="28"/>
      <c r="E48" s="28"/>
      <c r="F48" s="28"/>
      <c r="G48" s="28"/>
      <c r="I48" s="26"/>
      <c r="J48" s="26"/>
      <c r="K48" s="26"/>
      <c r="L48" s="26"/>
      <c r="M48" s="26"/>
      <c r="N48" s="28"/>
      <c r="W48" s="27"/>
      <c r="X48" s="27"/>
      <c r="Y48" s="27"/>
      <c r="Z48" s="27"/>
      <c r="AA48" s="27"/>
      <c r="AB48" s="27"/>
      <c r="AC48" s="27"/>
      <c r="AD48" s="27"/>
      <c r="AE48" s="27"/>
      <c r="AF48" s="28"/>
      <c r="AG48" s="28"/>
      <c r="AH48" s="28"/>
      <c r="AI48" s="28"/>
      <c r="AJ48" s="28"/>
      <c r="AK48" s="28"/>
      <c r="AL48" s="28"/>
    </row>
    <row r="49" spans="2:38" x14ac:dyDescent="0.35">
      <c r="D49" s="28"/>
      <c r="E49" s="28"/>
      <c r="F49" s="28"/>
      <c r="G49" s="28"/>
      <c r="H49" s="28"/>
      <c r="N49" s="28"/>
      <c r="W49" s="27"/>
      <c r="X49" s="27"/>
      <c r="Y49" s="27"/>
      <c r="Z49" s="27"/>
      <c r="AA49" s="27"/>
      <c r="AB49" s="27"/>
      <c r="AC49" s="27"/>
      <c r="AD49" s="27"/>
      <c r="AE49" s="27"/>
      <c r="AF49" s="28"/>
      <c r="AG49" s="28"/>
      <c r="AH49" s="28"/>
      <c r="AI49" s="28"/>
      <c r="AJ49" s="28"/>
      <c r="AK49" s="28"/>
      <c r="AL49" s="28"/>
    </row>
    <row r="50" spans="2:38" x14ac:dyDescent="0.35">
      <c r="D50" s="28"/>
      <c r="E50" s="28"/>
      <c r="F50" s="28"/>
      <c r="G50" s="28"/>
      <c r="H50" s="28"/>
      <c r="N50" s="28"/>
      <c r="W50" s="27"/>
      <c r="X50" s="27"/>
      <c r="Y50" s="27"/>
      <c r="Z50" s="27"/>
      <c r="AA50" s="27"/>
      <c r="AB50" s="27"/>
      <c r="AC50" s="27"/>
      <c r="AD50" s="27"/>
      <c r="AE50" s="27"/>
      <c r="AF50" s="28"/>
      <c r="AG50" s="28"/>
      <c r="AH50" s="28"/>
      <c r="AI50" s="28"/>
      <c r="AJ50" s="28"/>
      <c r="AK50" s="28"/>
      <c r="AL50" s="28"/>
    </row>
    <row r="51" spans="2:38" x14ac:dyDescent="0.35">
      <c r="D51" s="28"/>
      <c r="E51" s="28"/>
      <c r="F51" s="28"/>
      <c r="G51" s="28"/>
      <c r="H51" s="28"/>
      <c r="N51" s="28"/>
      <c r="W51" s="27"/>
      <c r="X51" s="27"/>
      <c r="Y51" s="27"/>
      <c r="Z51" s="27"/>
      <c r="AA51" s="27"/>
      <c r="AB51" s="27"/>
      <c r="AC51" s="27"/>
      <c r="AD51" s="27"/>
      <c r="AE51" s="27"/>
      <c r="AF51" s="28"/>
      <c r="AG51" s="28"/>
      <c r="AH51" s="28"/>
      <c r="AI51" s="28"/>
      <c r="AJ51" s="28"/>
      <c r="AK51" s="28"/>
      <c r="AL51" s="28"/>
    </row>
    <row r="52" spans="2:38" x14ac:dyDescent="0.35">
      <c r="D52" s="28"/>
      <c r="E52" s="28"/>
      <c r="F52" s="28"/>
      <c r="G52" s="28"/>
      <c r="H52" s="28"/>
      <c r="N52" s="28"/>
      <c r="W52" s="27"/>
      <c r="X52" s="27"/>
      <c r="Y52" s="27"/>
      <c r="Z52" s="27"/>
      <c r="AA52" s="27"/>
      <c r="AB52" s="27"/>
      <c r="AC52" s="27"/>
      <c r="AD52" s="27"/>
      <c r="AE52" s="27"/>
      <c r="AF52" s="28"/>
      <c r="AG52" s="28"/>
      <c r="AH52" s="28"/>
      <c r="AI52" s="28"/>
      <c r="AJ52" s="28"/>
      <c r="AK52" s="28"/>
      <c r="AL52" s="28"/>
    </row>
    <row r="53" spans="2:38" x14ac:dyDescent="0.35">
      <c r="D53" s="28"/>
      <c r="E53" s="28"/>
      <c r="F53" s="28"/>
      <c r="G53" s="28"/>
      <c r="H53" s="28"/>
      <c r="N53" s="28"/>
      <c r="W53" s="27"/>
      <c r="X53" s="27"/>
      <c r="Y53" s="27"/>
      <c r="Z53" s="27"/>
      <c r="AA53" s="27"/>
      <c r="AB53" s="27"/>
      <c r="AC53" s="27"/>
      <c r="AD53" s="27"/>
      <c r="AE53" s="27"/>
      <c r="AF53" s="28"/>
      <c r="AG53" s="28"/>
      <c r="AH53" s="28"/>
      <c r="AI53" s="28"/>
      <c r="AJ53" s="28"/>
      <c r="AK53" s="28"/>
      <c r="AL53" s="28"/>
    </row>
    <row r="54" spans="2:38" x14ac:dyDescent="0.35">
      <c r="D54" s="28"/>
      <c r="E54" s="28"/>
      <c r="F54" s="28"/>
      <c r="G54" s="28"/>
      <c r="H54" s="28"/>
      <c r="N54" s="28"/>
      <c r="W54" s="27"/>
      <c r="X54" s="27"/>
      <c r="Y54" s="27"/>
      <c r="Z54" s="27"/>
      <c r="AA54" s="27"/>
      <c r="AB54" s="27"/>
      <c r="AC54" s="27"/>
      <c r="AD54" s="27"/>
      <c r="AE54" s="27"/>
      <c r="AF54" s="28"/>
      <c r="AG54" s="28"/>
      <c r="AH54" s="28"/>
      <c r="AI54" s="28"/>
      <c r="AJ54" s="28"/>
      <c r="AK54" s="28"/>
      <c r="AL54" s="28"/>
    </row>
    <row r="55" spans="2:38" x14ac:dyDescent="0.35">
      <c r="D55" s="28"/>
      <c r="E55" s="28"/>
      <c r="F55" s="28"/>
      <c r="G55" s="28"/>
      <c r="H55" s="28"/>
      <c r="N55" s="28"/>
      <c r="W55" s="27"/>
      <c r="X55" s="27"/>
      <c r="Y55" s="27"/>
      <c r="Z55" s="27"/>
      <c r="AA55" s="27"/>
      <c r="AB55" s="27"/>
      <c r="AC55" s="27"/>
      <c r="AD55" s="27"/>
      <c r="AE55" s="27"/>
      <c r="AF55" s="28"/>
      <c r="AG55" s="28"/>
      <c r="AH55" s="28"/>
      <c r="AI55" s="28"/>
      <c r="AJ55" s="28"/>
      <c r="AK55" s="28"/>
      <c r="AL55" s="28"/>
    </row>
    <row r="56" spans="2:38" x14ac:dyDescent="0.35">
      <c r="C56" s="28"/>
      <c r="D56" s="28"/>
      <c r="E56" s="28"/>
      <c r="F56" s="28"/>
      <c r="G56" s="28"/>
      <c r="H56" s="28"/>
      <c r="N56" s="28"/>
      <c r="W56" s="27"/>
      <c r="X56" s="27"/>
      <c r="Y56" s="27"/>
      <c r="Z56" s="27"/>
      <c r="AA56" s="27"/>
      <c r="AB56" s="27"/>
      <c r="AC56" s="27"/>
      <c r="AD56" s="27"/>
      <c r="AE56" s="27"/>
      <c r="AF56" s="28"/>
      <c r="AG56" s="28"/>
      <c r="AH56" s="28"/>
      <c r="AI56" s="28"/>
      <c r="AJ56" s="28"/>
      <c r="AK56" s="28"/>
      <c r="AL56" s="28"/>
    </row>
    <row r="57" spans="2:38" x14ac:dyDescent="0.35">
      <c r="C57" s="28"/>
      <c r="D57" s="28"/>
      <c r="E57" s="28"/>
      <c r="F57" s="28"/>
      <c r="G57" s="28"/>
      <c r="H57" s="28"/>
      <c r="N57" s="28"/>
      <c r="W57" s="27"/>
      <c r="X57" s="27"/>
      <c r="Y57" s="27"/>
      <c r="Z57" s="27"/>
      <c r="AA57" s="27"/>
      <c r="AB57" s="27"/>
      <c r="AC57" s="27"/>
      <c r="AD57" s="27"/>
      <c r="AE57" s="27"/>
      <c r="AF57" s="28"/>
      <c r="AG57" s="28"/>
      <c r="AH57" s="28"/>
    </row>
    <row r="58" spans="2:38" x14ac:dyDescent="0.35">
      <c r="C58" s="28"/>
      <c r="D58" s="28"/>
      <c r="E58" s="28"/>
      <c r="F58" s="28"/>
      <c r="G58" s="28"/>
      <c r="H58" s="28"/>
      <c r="N58" s="28"/>
      <c r="W58" s="27"/>
      <c r="X58" s="27"/>
      <c r="Y58" s="27"/>
      <c r="Z58" s="27"/>
      <c r="AA58" s="27"/>
      <c r="AB58" s="27"/>
      <c r="AC58" s="27"/>
      <c r="AD58" s="27"/>
      <c r="AE58" s="27"/>
      <c r="AF58" s="28"/>
      <c r="AG58" s="28"/>
      <c r="AH58" s="28"/>
    </row>
    <row r="59" spans="2:38" x14ac:dyDescent="0.35">
      <c r="C59" s="28"/>
      <c r="D59" s="28"/>
      <c r="E59" s="28"/>
      <c r="F59" s="28"/>
      <c r="G59" s="28"/>
      <c r="H59" s="28"/>
      <c r="N59" s="28"/>
      <c r="W59" s="27"/>
      <c r="X59" s="27"/>
      <c r="Y59" s="27"/>
      <c r="Z59" s="27"/>
      <c r="AA59" s="27"/>
      <c r="AB59" s="27"/>
      <c r="AC59" s="27"/>
      <c r="AD59" s="27"/>
      <c r="AE59" s="27"/>
      <c r="AF59" s="28"/>
      <c r="AG59" s="28"/>
      <c r="AH59" s="28"/>
    </row>
    <row r="60" spans="2:38" x14ac:dyDescent="0.35">
      <c r="B60" s="28"/>
      <c r="C60" s="28"/>
      <c r="D60" s="28"/>
      <c r="E60" s="28"/>
      <c r="F60" s="28"/>
      <c r="G60" s="28"/>
      <c r="I60" s="26"/>
      <c r="J60" s="26"/>
      <c r="K60" s="26"/>
      <c r="L60" s="26"/>
      <c r="M60" s="26"/>
      <c r="W60" s="27"/>
      <c r="X60" s="27"/>
      <c r="Y60" s="27"/>
      <c r="Z60" s="27"/>
      <c r="AA60" s="27"/>
      <c r="AB60" s="27"/>
      <c r="AC60" s="27"/>
      <c r="AD60" s="27"/>
      <c r="AE60" s="27"/>
      <c r="AF60" s="28"/>
      <c r="AG60" s="28"/>
      <c r="AH60" s="28"/>
    </row>
    <row r="61" spans="2:38" x14ac:dyDescent="0.35">
      <c r="B61" s="28"/>
      <c r="C61" s="28"/>
      <c r="D61" s="28"/>
      <c r="E61" s="28"/>
      <c r="F61" s="28"/>
      <c r="G61" s="28"/>
      <c r="I61" s="26"/>
      <c r="J61" s="26"/>
      <c r="K61" s="26"/>
      <c r="L61" s="26"/>
      <c r="M61" s="26"/>
      <c r="W61" s="27"/>
      <c r="X61" s="27"/>
      <c r="Y61" s="27"/>
      <c r="Z61" s="27"/>
      <c r="AA61" s="27"/>
      <c r="AB61" s="27"/>
      <c r="AC61" s="27"/>
      <c r="AD61" s="27"/>
      <c r="AE61" s="27"/>
      <c r="AF61" s="28"/>
      <c r="AG61" s="28"/>
      <c r="AH61" s="28"/>
    </row>
    <row r="62" spans="2:38" x14ac:dyDescent="0.35">
      <c r="C62" s="28"/>
      <c r="D62" s="28"/>
      <c r="E62" s="28"/>
      <c r="F62" s="28"/>
      <c r="G62" s="28"/>
      <c r="H62" s="28"/>
      <c r="I62" s="26"/>
      <c r="J62" s="26"/>
      <c r="K62" s="26"/>
      <c r="L62" s="26"/>
      <c r="M62" s="26"/>
      <c r="W62" s="27"/>
      <c r="X62" s="27"/>
      <c r="Y62" s="27"/>
      <c r="Z62" s="27"/>
      <c r="AA62" s="27"/>
      <c r="AB62" s="27"/>
      <c r="AC62" s="27"/>
      <c r="AD62" s="27"/>
      <c r="AE62" s="27"/>
      <c r="AF62" s="28"/>
      <c r="AG62" s="28"/>
      <c r="AH62" s="28"/>
    </row>
    <row r="63" spans="2:38" x14ac:dyDescent="0.35">
      <c r="C63" s="28"/>
      <c r="D63" s="28"/>
      <c r="E63" s="28"/>
      <c r="F63" s="28"/>
      <c r="G63" s="28"/>
      <c r="H63" s="28"/>
      <c r="N63" s="28"/>
      <c r="W63" s="27"/>
      <c r="X63" s="27"/>
      <c r="Y63" s="27"/>
      <c r="Z63" s="27"/>
      <c r="AA63" s="27"/>
      <c r="AB63" s="27"/>
      <c r="AC63" s="27"/>
      <c r="AD63" s="27"/>
      <c r="AE63" s="27"/>
      <c r="AF63" s="28"/>
      <c r="AG63" s="28"/>
      <c r="AH63" s="28"/>
    </row>
    <row r="64" spans="2:38" x14ac:dyDescent="0.35">
      <c r="C64" s="28"/>
      <c r="D64" s="28"/>
      <c r="E64" s="28"/>
      <c r="F64" s="28"/>
      <c r="G64" s="28"/>
      <c r="H64" s="28"/>
      <c r="N64" s="28"/>
      <c r="AC64" s="28"/>
      <c r="AD64" s="28"/>
      <c r="AE64" s="28"/>
      <c r="AF64" s="28"/>
      <c r="AG64" s="28"/>
      <c r="AH64" s="28"/>
    </row>
    <row r="65" spans="3:34" x14ac:dyDescent="0.35">
      <c r="C65" s="28"/>
      <c r="D65" s="28"/>
      <c r="E65" s="28"/>
      <c r="F65" s="28"/>
      <c r="G65" s="28"/>
      <c r="H65" s="28"/>
      <c r="N65" s="28"/>
      <c r="AC65" s="28"/>
      <c r="AD65" s="28"/>
      <c r="AE65" s="28"/>
      <c r="AF65" s="28"/>
      <c r="AG65" s="28"/>
      <c r="AH65" s="28"/>
    </row>
    <row r="66" spans="3:34" x14ac:dyDescent="0.35">
      <c r="C66" s="28"/>
      <c r="D66" s="28"/>
      <c r="E66" s="28"/>
      <c r="F66" s="28"/>
      <c r="G66" s="28"/>
      <c r="H66" s="28"/>
      <c r="N66" s="28"/>
      <c r="AC66" s="28"/>
      <c r="AD66" s="28"/>
      <c r="AE66" s="28"/>
      <c r="AF66" s="28"/>
      <c r="AG66" s="28"/>
      <c r="AH66" s="28"/>
    </row>
    <row r="67" spans="3:34" x14ac:dyDescent="0.35">
      <c r="C67" s="28"/>
      <c r="D67" s="28"/>
      <c r="E67" s="28"/>
      <c r="F67" s="28"/>
      <c r="G67" s="28"/>
      <c r="H67" s="28"/>
      <c r="N67" s="28"/>
      <c r="AC67" s="28"/>
      <c r="AD67" s="28"/>
      <c r="AE67" s="28"/>
      <c r="AF67" s="28"/>
      <c r="AG67" s="28"/>
      <c r="AH67" s="28"/>
    </row>
    <row r="68" spans="3:34" x14ac:dyDescent="0.35">
      <c r="C68" s="28"/>
      <c r="D68" s="28"/>
      <c r="E68" s="28"/>
      <c r="F68" s="28"/>
      <c r="G68" s="28"/>
      <c r="H68" s="28"/>
      <c r="N68" s="28"/>
      <c r="AC68" s="28"/>
      <c r="AD68" s="28"/>
      <c r="AE68" s="28"/>
      <c r="AF68" s="28"/>
      <c r="AG68" s="28"/>
      <c r="AH68" s="28"/>
    </row>
    <row r="69" spans="3:34" x14ac:dyDescent="0.35">
      <c r="C69" s="28"/>
      <c r="D69" s="28"/>
      <c r="E69" s="28"/>
      <c r="F69" s="28"/>
      <c r="G69" s="28"/>
      <c r="H69" s="28"/>
      <c r="N69" s="28"/>
      <c r="AC69" s="28"/>
      <c r="AD69" s="28"/>
      <c r="AE69" s="28"/>
      <c r="AF69" s="28"/>
      <c r="AG69" s="28"/>
      <c r="AH69" s="28"/>
    </row>
    <row r="70" spans="3:34" x14ac:dyDescent="0.35">
      <c r="C70" s="28"/>
      <c r="D70" s="28"/>
      <c r="E70" s="28"/>
      <c r="F70" s="28"/>
      <c r="G70" s="28"/>
      <c r="H70" s="28"/>
      <c r="N70" s="28"/>
      <c r="AC70" s="28"/>
      <c r="AD70" s="28"/>
      <c r="AE70" s="28"/>
      <c r="AF70" s="28"/>
      <c r="AG70" s="28"/>
      <c r="AH70" s="28"/>
    </row>
    <row r="71" spans="3:34" x14ac:dyDescent="0.35">
      <c r="C71" s="28"/>
      <c r="D71" s="28"/>
      <c r="E71" s="28"/>
      <c r="F71" s="28"/>
      <c r="G71" s="28"/>
      <c r="H71" s="28"/>
      <c r="N71" s="28"/>
      <c r="AC71" s="28"/>
      <c r="AD71" s="28"/>
      <c r="AE71" s="28"/>
      <c r="AF71" s="28"/>
      <c r="AG71" s="28"/>
      <c r="AH71" s="28"/>
    </row>
    <row r="72" spans="3:34" x14ac:dyDescent="0.35">
      <c r="C72" s="28"/>
      <c r="D72" s="28"/>
      <c r="E72" s="28"/>
      <c r="F72" s="28"/>
      <c r="G72" s="28"/>
      <c r="H72" s="28"/>
      <c r="N72" s="28"/>
      <c r="AC72" s="28"/>
      <c r="AD72" s="28"/>
      <c r="AE72" s="28"/>
      <c r="AF72" s="28"/>
      <c r="AG72" s="28"/>
      <c r="AH72" s="28"/>
    </row>
    <row r="73" spans="3:34" x14ac:dyDescent="0.35">
      <c r="C73" s="28"/>
      <c r="D73" s="28"/>
      <c r="E73" s="28"/>
      <c r="F73" s="28"/>
      <c r="G73" s="28"/>
      <c r="H73" s="28"/>
      <c r="N73" s="28"/>
      <c r="AC73" s="28"/>
      <c r="AD73" s="28"/>
      <c r="AE73" s="28"/>
      <c r="AF73" s="28"/>
      <c r="AG73" s="28"/>
      <c r="AH73" s="28"/>
    </row>
    <row r="74" spans="3:34" x14ac:dyDescent="0.35">
      <c r="C74" s="28"/>
      <c r="D74" s="28"/>
      <c r="E74" s="28"/>
      <c r="F74" s="28"/>
      <c r="G74" s="28"/>
      <c r="H74" s="28"/>
      <c r="N74" s="28"/>
      <c r="AC74" s="28"/>
      <c r="AD74" s="28"/>
      <c r="AE74" s="28"/>
      <c r="AF74" s="28"/>
      <c r="AG74" s="28"/>
      <c r="AH74" s="28"/>
    </row>
    <row r="75" spans="3:34" x14ac:dyDescent="0.35">
      <c r="C75" s="28"/>
      <c r="D75" s="28"/>
      <c r="E75" s="28"/>
      <c r="F75" s="28"/>
      <c r="G75" s="28"/>
      <c r="H75" s="28"/>
      <c r="N75" s="28"/>
      <c r="AC75" s="28"/>
      <c r="AD75" s="28"/>
      <c r="AE75" s="28"/>
      <c r="AF75" s="28"/>
      <c r="AG75" s="28"/>
      <c r="AH75" s="28"/>
    </row>
    <row r="76" spans="3:34" x14ac:dyDescent="0.35">
      <c r="C76" s="28"/>
      <c r="D76" s="28"/>
      <c r="E76" s="28"/>
      <c r="F76" s="28"/>
      <c r="H76" s="28"/>
      <c r="N76" s="28"/>
      <c r="AC76" s="28"/>
      <c r="AD76" s="28"/>
      <c r="AE76" s="28"/>
      <c r="AF76" s="28"/>
      <c r="AG76" s="28"/>
      <c r="AH76" s="28"/>
    </row>
    <row r="77" spans="3:34" x14ac:dyDescent="0.35">
      <c r="C77" s="28"/>
      <c r="D77" s="28"/>
      <c r="E77" s="28"/>
      <c r="F77" s="28"/>
      <c r="N77" s="28"/>
      <c r="AC77" s="28"/>
      <c r="AD77" s="28"/>
      <c r="AE77" s="28"/>
      <c r="AF77" s="28"/>
      <c r="AG77" s="28"/>
      <c r="AH77" s="28"/>
    </row>
    <row r="78" spans="3:34" x14ac:dyDescent="0.35">
      <c r="C78" s="28"/>
      <c r="D78" s="28"/>
      <c r="E78" s="28"/>
      <c r="F78" s="28"/>
      <c r="N78" s="28"/>
      <c r="AC78" s="28"/>
      <c r="AD78" s="28"/>
      <c r="AE78" s="28"/>
      <c r="AF78" s="28"/>
      <c r="AG78" s="28"/>
      <c r="AH78" s="28"/>
    </row>
    <row r="79" spans="3:34" x14ac:dyDescent="0.35">
      <c r="C79" s="28"/>
      <c r="D79" s="28"/>
      <c r="E79" s="28"/>
      <c r="F79" s="28"/>
      <c r="AC79" s="28"/>
      <c r="AD79" s="28"/>
      <c r="AE79" s="28"/>
      <c r="AF79" s="28"/>
      <c r="AG79" s="28"/>
      <c r="AH79" s="28"/>
    </row>
    <row r="80" spans="3:34" x14ac:dyDescent="0.35">
      <c r="C80" s="28"/>
      <c r="D80" s="28"/>
      <c r="E80" s="28"/>
      <c r="F80" s="28"/>
      <c r="AC80" s="28"/>
      <c r="AD80" s="28"/>
      <c r="AE80" s="28"/>
      <c r="AF80" s="28"/>
      <c r="AG80" s="28"/>
      <c r="AH80" s="28"/>
    </row>
    <row r="81" spans="3:34" x14ac:dyDescent="0.35">
      <c r="C81" s="28"/>
      <c r="D81" s="28"/>
      <c r="E81" s="28"/>
      <c r="F81" s="28"/>
      <c r="AC81" s="28"/>
      <c r="AD81" s="28"/>
      <c r="AE81" s="28"/>
      <c r="AF81" s="28"/>
      <c r="AG81" s="28"/>
      <c r="AH81" s="28"/>
    </row>
    <row r="82" spans="3:34" x14ac:dyDescent="0.35">
      <c r="C82" s="28"/>
      <c r="D82" s="28"/>
      <c r="E82" s="28"/>
      <c r="F82" s="28"/>
      <c r="AC82" s="28"/>
      <c r="AD82" s="28"/>
      <c r="AE82" s="28"/>
      <c r="AF82" s="28"/>
      <c r="AG82" s="28"/>
      <c r="AH82" s="28"/>
    </row>
    <row r="83" spans="3:34" x14ac:dyDescent="0.35">
      <c r="C83" s="28"/>
      <c r="D83" s="28"/>
      <c r="E83" s="28"/>
      <c r="F83" s="28"/>
    </row>
    <row r="84" spans="3:34" x14ac:dyDescent="0.35">
      <c r="C84" s="28"/>
      <c r="D84" s="28"/>
      <c r="E84" s="28"/>
      <c r="F84" s="28"/>
    </row>
    <row r="85" spans="3:34" x14ac:dyDescent="0.35">
      <c r="C85" s="28"/>
      <c r="D85" s="28"/>
      <c r="E85" s="28"/>
      <c r="F85" s="28"/>
    </row>
    <row r="86" spans="3:34" x14ac:dyDescent="0.35">
      <c r="C86" s="28"/>
      <c r="D86" s="28"/>
      <c r="E86" s="28"/>
      <c r="F86" s="28"/>
    </row>
    <row r="87" spans="3:34" x14ac:dyDescent="0.35">
      <c r="C87" s="28"/>
      <c r="D87" s="28"/>
      <c r="E87" s="28"/>
      <c r="F87" s="28"/>
    </row>
    <row r="88" spans="3:34" x14ac:dyDescent="0.35">
      <c r="C88" s="28"/>
      <c r="D88" s="28"/>
      <c r="E88" s="28"/>
      <c r="F88" s="28"/>
    </row>
    <row r="89" spans="3:34" x14ac:dyDescent="0.35">
      <c r="C89" s="28"/>
      <c r="D89" s="28"/>
      <c r="E89" s="28"/>
      <c r="F89" s="28"/>
    </row>
    <row r="90" spans="3:34" x14ac:dyDescent="0.35">
      <c r="C90" s="28"/>
      <c r="D90" s="28"/>
      <c r="E90" s="28"/>
      <c r="F90" s="28"/>
    </row>
    <row r="91" spans="3:34" x14ac:dyDescent="0.35">
      <c r="C91" s="28"/>
      <c r="D91" s="28"/>
      <c r="E91" s="28"/>
      <c r="F91" s="28"/>
    </row>
  </sheetData>
  <sheetProtection algorithmName="SHA-512" hashValue="OzK1FrzYsZ24pvTGQTXgHVPe4qpUdGuftT6FueO6nDbgSzvVpx9l7HySJCTLnBx+Uwj4t5AzhTOnaWvyrXI2Sw==" saltValue="SBuXXiLMTByeog2STMJ0LQ==" spinCount="100000" sheet="1" selectLockedCells="1" selectUnlockedCells="1"/>
  <mergeCells count="9">
    <mergeCell ref="S26:S27"/>
    <mergeCell ref="C2:N3"/>
    <mergeCell ref="D31:F31"/>
    <mergeCell ref="C31:C32"/>
    <mergeCell ref="N31:N32"/>
    <mergeCell ref="G31:H31"/>
    <mergeCell ref="J31:L31"/>
    <mergeCell ref="M31:M32"/>
    <mergeCell ref="B5:P6"/>
  </mergeCells>
  <conditionalFormatting sqref="D33:E33">
    <cfRule type="dataBar" priority="11">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5:E35">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6:E36">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D38:E38">
    <cfRule type="dataBar" priority="6">
      <dataBar>
        <cfvo type="min"/>
        <cfvo type="max"/>
        <color theme="2"/>
      </dataBar>
      <extLst>
        <ext xmlns:x14="http://schemas.microsoft.com/office/spreadsheetml/2009/9/main" uri="{B025F937-C7B1-47D3-B67F-A62EFF666E3E}">
          <x14:id>{30FABE33-45FA-400C-ACE6-932C6E3F9C2B}</x14:id>
        </ext>
      </extLst>
    </cfRule>
  </conditionalFormatting>
  <conditionalFormatting sqref="D39:E39">
    <cfRule type="dataBar" priority="5">
      <dataBar>
        <cfvo type="min"/>
        <cfvo type="max"/>
        <color theme="2"/>
      </dataBar>
      <extLst>
        <ext xmlns:x14="http://schemas.microsoft.com/office/spreadsheetml/2009/9/main" uri="{B025F937-C7B1-47D3-B67F-A62EFF666E3E}">
          <x14:id>{6BC51323-A803-468B-8B91-192C87775742}</x14:id>
        </ext>
      </extLst>
    </cfRule>
  </conditionalFormatting>
  <conditionalFormatting sqref="D40:E40">
    <cfRule type="dataBar" priority="4">
      <dataBar>
        <cfvo type="min"/>
        <cfvo type="max"/>
        <color theme="2"/>
      </dataBar>
      <extLst>
        <ext xmlns:x14="http://schemas.microsoft.com/office/spreadsheetml/2009/9/main" uri="{B025F937-C7B1-47D3-B67F-A62EFF666E3E}">
          <x14:id>{548F3940-90AF-40F3-96B0-3A44167035B0}</x14:id>
        </ext>
      </extLst>
    </cfRule>
  </conditionalFormatting>
  <conditionalFormatting sqref="D41:E41">
    <cfRule type="dataBar" priority="3">
      <dataBar>
        <cfvo type="min"/>
        <cfvo type="max"/>
        <color theme="2"/>
      </dataBar>
      <extLst>
        <ext xmlns:x14="http://schemas.microsoft.com/office/spreadsheetml/2009/9/main" uri="{B025F937-C7B1-47D3-B67F-A62EFF666E3E}">
          <x14:id>{3707CC7E-9A1C-483E-A1C3-5A907966EB72}</x14:id>
        </ext>
      </extLst>
    </cfRule>
  </conditionalFormatting>
  <conditionalFormatting sqref="D42:E42">
    <cfRule type="dataBar" priority="2">
      <dataBar>
        <cfvo type="min"/>
        <cfvo type="max"/>
        <color theme="2"/>
      </dataBar>
      <extLst>
        <ext xmlns:x14="http://schemas.microsoft.com/office/spreadsheetml/2009/9/main" uri="{B025F937-C7B1-47D3-B67F-A62EFF666E3E}">
          <x14:id>{D516836D-EA3C-4576-95BC-D8EF186FD87E}</x14:id>
        </ext>
      </extLst>
    </cfRule>
  </conditionalFormatting>
  <conditionalFormatting sqref="F33:L33 N33">
    <cfRule type="dataBar" priority="61">
      <dataBar>
        <cfvo type="min"/>
        <cfvo type="max"/>
        <color theme="2"/>
      </dataBar>
      <extLst>
        <ext xmlns:x14="http://schemas.microsoft.com/office/spreadsheetml/2009/9/main" uri="{B025F937-C7B1-47D3-B67F-A62EFF666E3E}">
          <x14:id>{4BE4F2C4-9230-4C51-9E97-D225E9A5D985}</x14:id>
        </ext>
      </extLst>
    </cfRule>
  </conditionalFormatting>
  <conditionalFormatting sqref="F34:L34 N34">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5:L35 N35">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F36:L36 N36">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F37:L37 N37">
    <cfRule type="dataBar" priority="65">
      <dataBar>
        <cfvo type="min"/>
        <cfvo type="max"/>
        <color theme="2"/>
      </dataBar>
      <extLst>
        <ext xmlns:x14="http://schemas.microsoft.com/office/spreadsheetml/2009/9/main" uri="{B025F937-C7B1-47D3-B67F-A62EFF666E3E}">
          <x14:id>{47D12EEF-1E7C-443B-98EE-26AEB387CDA1}</x14:id>
        </ext>
      </extLst>
    </cfRule>
  </conditionalFormatting>
  <conditionalFormatting sqref="F38:L38 N38">
    <cfRule type="dataBar" priority="66">
      <dataBar>
        <cfvo type="min"/>
        <cfvo type="max"/>
        <color theme="2"/>
      </dataBar>
      <extLst>
        <ext xmlns:x14="http://schemas.microsoft.com/office/spreadsheetml/2009/9/main" uri="{B025F937-C7B1-47D3-B67F-A62EFF666E3E}">
          <x14:id>{9BC54A58-BBA8-4FC3-B5A3-D76F5738DB8F}</x14:id>
        </ext>
      </extLst>
    </cfRule>
  </conditionalFormatting>
  <conditionalFormatting sqref="F39:L39 N39">
    <cfRule type="dataBar" priority="67">
      <dataBar>
        <cfvo type="min"/>
        <cfvo type="max"/>
        <color theme="2"/>
      </dataBar>
      <extLst>
        <ext xmlns:x14="http://schemas.microsoft.com/office/spreadsheetml/2009/9/main" uri="{B025F937-C7B1-47D3-B67F-A62EFF666E3E}">
          <x14:id>{4EADCBAB-DAE2-4EA0-8232-DD2B6BEBA9B7}</x14:id>
        </ext>
      </extLst>
    </cfRule>
  </conditionalFormatting>
  <conditionalFormatting sqref="F40:L40 N40">
    <cfRule type="dataBar" priority="68">
      <dataBar>
        <cfvo type="min"/>
        <cfvo type="max"/>
        <color theme="2"/>
      </dataBar>
      <extLst>
        <ext xmlns:x14="http://schemas.microsoft.com/office/spreadsheetml/2009/9/main" uri="{B025F937-C7B1-47D3-B67F-A62EFF666E3E}">
          <x14:id>{F84A0C4E-2D9D-4396-994A-4744E977A427}</x14:id>
        </ext>
      </extLst>
    </cfRule>
  </conditionalFormatting>
  <conditionalFormatting sqref="F41:L41 N41">
    <cfRule type="dataBar" priority="69">
      <dataBar>
        <cfvo type="min"/>
        <cfvo type="max"/>
        <color theme="2"/>
      </dataBar>
      <extLst>
        <ext xmlns:x14="http://schemas.microsoft.com/office/spreadsheetml/2009/9/main" uri="{B025F937-C7B1-47D3-B67F-A62EFF666E3E}">
          <x14:id>{B57AD9FC-8357-47AD-B1A5-73076B66556A}</x14:id>
        </ext>
      </extLst>
    </cfRule>
  </conditionalFormatting>
  <conditionalFormatting sqref="F42:L42 N42">
    <cfRule type="dataBar" priority="70">
      <dataBar>
        <cfvo type="min"/>
        <cfvo type="max"/>
        <color theme="2"/>
      </dataBar>
      <extLst>
        <ext xmlns:x14="http://schemas.microsoft.com/office/spreadsheetml/2009/9/main" uri="{B025F937-C7B1-47D3-B67F-A62EFF666E3E}">
          <x14:id>{6394B859-9BAB-4F6C-86A4-7C523F9AF77B}</x14:id>
        </ext>
      </extLst>
    </cfRule>
  </conditionalFormatting>
  <conditionalFormatting sqref="M33:M43">
    <cfRule type="dataBar" priority="1">
      <dataBar>
        <cfvo type="min"/>
        <cfvo type="max"/>
        <color theme="2"/>
      </dataBar>
      <extLst>
        <ext xmlns:x14="http://schemas.microsoft.com/office/spreadsheetml/2009/9/main" uri="{B025F937-C7B1-47D3-B67F-A62EFF666E3E}">
          <x14:id>{03DE95BE-3C15-45C9-A3A3-FEF229BCD047}</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6BC51323-A803-468B-8B91-192C87775742}">
            <x14:dataBar minLength="0" maxLength="100" gradient="0">
              <x14:cfvo type="autoMin"/>
              <x14:cfvo type="autoMax"/>
              <x14:negativeFillColor rgb="FFFF0000"/>
              <x14:axisColor rgb="FF000000"/>
            </x14:dataBar>
          </x14:cfRule>
          <xm:sqref>D39:E39</xm:sqref>
        </x14:conditionalFormatting>
        <x14:conditionalFormatting xmlns:xm="http://schemas.microsoft.com/office/excel/2006/main">
          <x14:cfRule type="dataBar" id="{548F3940-90AF-40F3-96B0-3A44167035B0}">
            <x14:dataBar minLength="0" maxLength="100" gradient="0">
              <x14:cfvo type="autoMin"/>
              <x14:cfvo type="autoMax"/>
              <x14:negativeFillColor rgb="FFFF0000"/>
              <x14:axisColor rgb="FF000000"/>
            </x14:dataBar>
          </x14:cfRule>
          <xm:sqref>D40:E40</xm:sqref>
        </x14:conditionalFormatting>
        <x14:conditionalFormatting xmlns:xm="http://schemas.microsoft.com/office/excel/2006/main">
          <x14:cfRule type="dataBar" id="{3707CC7E-9A1C-483E-A1C3-5A907966EB72}">
            <x14:dataBar minLength="0" maxLength="100" gradient="0">
              <x14:cfvo type="autoMin"/>
              <x14:cfvo type="autoMax"/>
              <x14:negativeFillColor rgb="FFFF0000"/>
              <x14:axisColor rgb="FF000000"/>
            </x14:dataBar>
          </x14:cfRule>
          <xm:sqref>D41:E41</xm:sqref>
        </x14:conditionalFormatting>
        <x14:conditionalFormatting xmlns:xm="http://schemas.microsoft.com/office/excel/2006/main">
          <x14:cfRule type="dataBar" id="{D516836D-EA3C-4576-95BC-D8EF186FD87E}">
            <x14:dataBar minLength="0" maxLength="100" gradient="0">
              <x14:cfvo type="autoMin"/>
              <x14:cfvo type="autoMax"/>
              <x14:negativeFillColor rgb="FFFF0000"/>
              <x14:axisColor rgb="FF000000"/>
            </x14:dataBar>
          </x14:cfRule>
          <xm:sqref>D42:E42</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F33:L33 N33</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F34:L34 N34</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F35:L35 N35</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F36:L36 N36</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F37:L37 N37</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F38:L38 N38</xm:sqref>
        </x14:conditionalFormatting>
        <x14:conditionalFormatting xmlns:xm="http://schemas.microsoft.com/office/excel/2006/main">
          <x14:cfRule type="dataBar" id="{4EADCBAB-DAE2-4EA0-8232-DD2B6BEBA9B7}">
            <x14:dataBar minLength="0" maxLength="100" gradient="0">
              <x14:cfvo type="autoMin"/>
              <x14:cfvo type="autoMax"/>
              <x14:negativeFillColor rgb="FFFF0000"/>
              <x14:axisColor rgb="FF000000"/>
            </x14:dataBar>
          </x14:cfRule>
          <xm:sqref>F39:L39 N39</xm:sqref>
        </x14:conditionalFormatting>
        <x14:conditionalFormatting xmlns:xm="http://schemas.microsoft.com/office/excel/2006/main">
          <x14:cfRule type="dataBar" id="{F84A0C4E-2D9D-4396-994A-4744E977A427}">
            <x14:dataBar minLength="0" maxLength="100" gradient="0">
              <x14:cfvo type="autoMin"/>
              <x14:cfvo type="autoMax"/>
              <x14:negativeFillColor rgb="FFFF0000"/>
              <x14:axisColor rgb="FF000000"/>
            </x14:dataBar>
          </x14:cfRule>
          <xm:sqref>F40:L40 N40</xm:sqref>
        </x14:conditionalFormatting>
        <x14:conditionalFormatting xmlns:xm="http://schemas.microsoft.com/office/excel/2006/main">
          <x14:cfRule type="dataBar" id="{B57AD9FC-8357-47AD-B1A5-73076B66556A}">
            <x14:dataBar minLength="0" maxLength="100" gradient="0">
              <x14:cfvo type="autoMin"/>
              <x14:cfvo type="autoMax"/>
              <x14:negativeFillColor rgb="FFFF0000"/>
              <x14:axisColor rgb="FF000000"/>
            </x14:dataBar>
          </x14:cfRule>
          <xm:sqref>F41:L41 N41</xm:sqref>
        </x14:conditionalFormatting>
        <x14:conditionalFormatting xmlns:xm="http://schemas.microsoft.com/office/excel/2006/main">
          <x14:cfRule type="dataBar" id="{6394B859-9BAB-4F6C-86A4-7C523F9AF77B}">
            <x14:dataBar minLength="0" maxLength="100" gradient="0">
              <x14:cfvo type="autoMin"/>
              <x14:cfvo type="autoMax"/>
              <x14:negativeFillColor rgb="FFFF0000"/>
              <x14:axisColor rgb="FF000000"/>
            </x14:dataBar>
          </x14:cfRule>
          <xm:sqref>F42:L42 N42</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M33:M43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zoomScaleNormal="100" workbookViewId="0"/>
  </sheetViews>
  <sheetFormatPr defaultColWidth="8.7265625" defaultRowHeight="14" x14ac:dyDescent="0.3"/>
  <cols>
    <col min="1" max="1" width="0.81640625" style="185" customWidth="1"/>
    <col min="2" max="2" width="3.7265625" style="185" customWidth="1"/>
    <col min="3" max="3" width="3.7265625" style="184" customWidth="1"/>
    <col min="4" max="4" width="3.453125" style="185" customWidth="1"/>
    <col min="5" max="5" width="12" style="185" customWidth="1"/>
    <col min="6" max="6" width="5.81640625" style="185" customWidth="1"/>
    <col min="7" max="7" width="10.453125" style="185" customWidth="1"/>
    <col min="8" max="8" width="1.453125" style="185" customWidth="1"/>
    <col min="9" max="9" width="10.453125" style="185" customWidth="1"/>
    <col min="10" max="10" width="5.81640625" style="185" customWidth="1"/>
    <col min="11" max="11" width="10.453125" style="185" customWidth="1"/>
    <col min="12" max="12" width="1.453125" style="185" customWidth="1"/>
    <col min="13" max="13" width="10.453125" style="185" customWidth="1"/>
    <col min="14" max="14" width="5.81640625" style="185" customWidth="1"/>
    <col min="15" max="15" width="10.453125" style="185" customWidth="1"/>
    <col min="16" max="16" width="1.453125" style="185" customWidth="1"/>
    <col min="17" max="17" width="10.453125" style="185" customWidth="1"/>
    <col min="18" max="18" width="5.81640625" style="185" customWidth="1"/>
    <col min="19" max="19" width="10.453125" style="185" customWidth="1"/>
    <col min="20" max="20" width="1.453125" style="185" customWidth="1"/>
    <col min="21" max="21" width="10.453125" style="185" customWidth="1"/>
    <col min="22" max="22" width="5.81640625" style="185" customWidth="1"/>
    <col min="23" max="24" width="9.453125" style="185" customWidth="1"/>
    <col min="25" max="25" width="9.54296875" style="185" customWidth="1"/>
    <col min="26" max="26" width="9.26953125" style="185" customWidth="1"/>
    <col min="27" max="27" width="7.26953125" style="185" customWidth="1"/>
    <col min="28" max="31" width="9.453125" style="185" customWidth="1"/>
    <col min="32" max="16384" width="8.7265625" style="185"/>
  </cols>
  <sheetData>
    <row r="1" spans="3:27" ht="7.5" customHeight="1" x14ac:dyDescent="0.3"/>
    <row r="2" spans="3:27" ht="7.5" customHeight="1" x14ac:dyDescent="0.3"/>
    <row r="5" spans="3:27" ht="11.25" customHeight="1" x14ac:dyDescent="0.3"/>
    <row r="6" spans="3:27" ht="20" x14ac:dyDescent="0.4">
      <c r="M6" s="289" t="s">
        <v>117</v>
      </c>
      <c r="N6" s="289"/>
      <c r="O6" s="289"/>
      <c r="P6" s="289"/>
    </row>
    <row r="7" spans="3:27" ht="18" customHeight="1" x14ac:dyDescent="0.3">
      <c r="D7" s="186" t="s">
        <v>169</v>
      </c>
      <c r="E7" s="187"/>
      <c r="F7" s="187"/>
      <c r="G7" s="187"/>
      <c r="H7" s="187"/>
      <c r="I7" s="187"/>
      <c r="K7" s="188"/>
      <c r="L7" s="188"/>
      <c r="M7" s="313"/>
      <c r="N7" s="313"/>
      <c r="O7" s="313"/>
      <c r="P7" s="313"/>
      <c r="Q7" s="188"/>
      <c r="R7" s="188"/>
      <c r="S7" s="303" t="str">
        <f ca="1">Message</f>
        <v>Your Name, you have 
225 days to complete 43 chapters &amp; 192 hrs of lectures.
For this you must study for 1:06 hrs and 3:33 hrs respectively on weekdays &amp; weekends.</v>
      </c>
      <c r="T7" s="303"/>
      <c r="U7" s="303"/>
      <c r="V7" s="303"/>
    </row>
    <row r="8" spans="3:27" ht="18.649999999999999" customHeight="1" x14ac:dyDescent="0.3">
      <c r="D8" s="189" t="s">
        <v>138</v>
      </c>
      <c r="E8" s="187"/>
      <c r="F8" s="187"/>
      <c r="G8" s="187"/>
      <c r="H8" s="187"/>
      <c r="I8" s="47">
        <v>2.5</v>
      </c>
      <c r="K8" s="188"/>
      <c r="L8" s="188"/>
      <c r="M8" s="188"/>
      <c r="N8" s="188"/>
      <c r="O8" s="188"/>
      <c r="P8" s="188"/>
      <c r="Q8" s="188"/>
      <c r="R8" s="188"/>
      <c r="S8" s="303"/>
      <c r="T8" s="303"/>
      <c r="U8" s="303"/>
      <c r="V8" s="303"/>
    </row>
    <row r="9" spans="3:27" ht="18.649999999999999" customHeight="1" x14ac:dyDescent="0.3">
      <c r="D9" s="189" t="s">
        <v>139</v>
      </c>
      <c r="E9" s="187"/>
      <c r="F9" s="187"/>
      <c r="G9" s="187"/>
      <c r="H9" s="187"/>
      <c r="I9" s="47">
        <v>8</v>
      </c>
      <c r="K9" s="188"/>
      <c r="L9" s="188"/>
      <c r="M9" s="188"/>
      <c r="N9" s="188"/>
      <c r="O9" s="188"/>
      <c r="P9" s="188"/>
      <c r="Q9" s="188"/>
      <c r="R9" s="188"/>
      <c r="S9" s="303"/>
      <c r="T9" s="303"/>
      <c r="U9" s="303"/>
      <c r="V9" s="303"/>
    </row>
    <row r="10" spans="3:27" ht="18.649999999999999" customHeight="1" x14ac:dyDescent="0.3">
      <c r="D10" s="189" t="s">
        <v>140</v>
      </c>
      <c r="E10" s="187"/>
      <c r="F10" s="187"/>
      <c r="G10" s="187"/>
      <c r="H10" s="187"/>
      <c r="I10" s="47">
        <v>5</v>
      </c>
      <c r="K10" s="188"/>
      <c r="L10" s="188"/>
      <c r="M10" s="188"/>
      <c r="O10" s="188"/>
      <c r="P10" s="188"/>
      <c r="Q10" s="188"/>
      <c r="R10" s="190"/>
      <c r="S10" s="303"/>
      <c r="T10" s="303"/>
      <c r="U10" s="303"/>
      <c r="V10" s="303"/>
    </row>
    <row r="11" spans="3:27" ht="18.649999999999999" customHeight="1" x14ac:dyDescent="0.3">
      <c r="D11" s="189" t="s">
        <v>141</v>
      </c>
      <c r="E11" s="187"/>
      <c r="F11" s="187"/>
      <c r="G11" s="187"/>
      <c r="H11" s="187"/>
      <c r="I11" s="48">
        <v>21</v>
      </c>
      <c r="K11" s="188"/>
      <c r="L11" s="188"/>
      <c r="M11" s="188"/>
      <c r="O11" s="188"/>
      <c r="P11" s="188"/>
      <c r="Q11" s="188"/>
      <c r="R11" s="191"/>
      <c r="S11" s="303"/>
      <c r="T11" s="303"/>
      <c r="U11" s="303"/>
      <c r="V11" s="303"/>
    </row>
    <row r="12" spans="3:27" ht="18.649999999999999" customHeight="1" x14ac:dyDescent="0.3">
      <c r="D12" s="189" t="s">
        <v>157</v>
      </c>
      <c r="E12" s="187"/>
      <c r="F12" s="187"/>
      <c r="G12" s="187"/>
      <c r="H12" s="187"/>
      <c r="I12" s="48">
        <v>5</v>
      </c>
      <c r="K12" s="188"/>
      <c r="L12" s="188"/>
      <c r="M12" s="188"/>
      <c r="O12" s="188"/>
      <c r="P12" s="188"/>
      <c r="Q12" s="188"/>
      <c r="S12" s="303"/>
      <c r="T12" s="303"/>
      <c r="U12" s="303"/>
      <c r="V12" s="303"/>
    </row>
    <row r="14" spans="3:27" s="192" customFormat="1" ht="18.75" customHeight="1" x14ac:dyDescent="0.3">
      <c r="C14" s="184"/>
      <c r="G14" s="293"/>
      <c r="H14" s="293"/>
      <c r="I14" s="293"/>
      <c r="J14" s="193"/>
      <c r="K14" s="193"/>
      <c r="L14" s="193"/>
      <c r="M14" s="194"/>
      <c r="N14" s="195"/>
      <c r="O14" s="196"/>
      <c r="P14" s="197"/>
      <c r="Q14" s="198"/>
      <c r="R14" s="199"/>
    </row>
    <row r="15" spans="3:27" s="192" customFormat="1" ht="15" customHeight="1" x14ac:dyDescent="0.3">
      <c r="C15" s="184"/>
      <c r="J15" s="200"/>
      <c r="K15" s="312"/>
      <c r="L15" s="312"/>
      <c r="M15" s="194"/>
      <c r="N15" s="195"/>
      <c r="O15" s="196"/>
      <c r="P15" s="197"/>
      <c r="Q15" s="198"/>
      <c r="R15" s="199"/>
      <c r="X15" s="201"/>
      <c r="Y15" s="201"/>
      <c r="Z15" s="201"/>
      <c r="AA15" s="185"/>
    </row>
    <row r="16" spans="3:27" s="192" customFormat="1" ht="15" customHeight="1" x14ac:dyDescent="0.3">
      <c r="C16" s="202" t="s">
        <v>142</v>
      </c>
      <c r="D16" s="202"/>
      <c r="F16" s="202"/>
      <c r="J16" s="200"/>
      <c r="K16" s="193"/>
      <c r="L16" s="193"/>
      <c r="M16" s="194"/>
      <c r="N16" s="195"/>
      <c r="O16" s="196"/>
      <c r="P16" s="197"/>
      <c r="Q16" s="198"/>
      <c r="R16" s="199"/>
      <c r="X16" s="203"/>
      <c r="Y16" s="203"/>
      <c r="Z16" s="203"/>
    </row>
    <row r="17" spans="2:30" s="192" customFormat="1" ht="15" customHeight="1" x14ac:dyDescent="0.3">
      <c r="C17" s="204"/>
      <c r="D17" s="205" t="s">
        <v>47</v>
      </c>
      <c r="F17" s="205"/>
      <c r="K17" s="193"/>
      <c r="L17" s="193"/>
      <c r="M17" s="194"/>
      <c r="N17" s="195"/>
      <c r="O17" s="196"/>
      <c r="P17" s="197"/>
      <c r="Q17" s="198"/>
      <c r="R17" s="199"/>
      <c r="X17" s="203"/>
      <c r="Y17" s="203"/>
      <c r="Z17" s="203"/>
    </row>
    <row r="18" spans="2:30" s="192" customFormat="1" ht="15" customHeight="1" x14ac:dyDescent="0.3">
      <c r="C18" s="206"/>
      <c r="D18" s="205" t="s">
        <v>146</v>
      </c>
      <c r="F18" s="205"/>
      <c r="J18" s="193"/>
      <c r="K18" s="193"/>
      <c r="L18" s="193"/>
      <c r="M18" s="194"/>
      <c r="N18" s="195"/>
      <c r="O18" s="196"/>
      <c r="P18" s="197"/>
      <c r="Q18" s="198"/>
      <c r="R18" s="199"/>
      <c r="X18" s="203"/>
      <c r="Y18" s="203"/>
      <c r="Z18" s="203"/>
      <c r="AB18" s="290"/>
      <c r="AC18" s="290"/>
      <c r="AD18" s="200"/>
    </row>
    <row r="19" spans="2:30" s="192" customFormat="1" ht="15" customHeight="1" x14ac:dyDescent="0.3">
      <c r="J19" s="193"/>
      <c r="K19" s="193"/>
      <c r="L19" s="193"/>
      <c r="M19" s="194"/>
      <c r="N19" s="195"/>
      <c r="O19" s="196"/>
      <c r="P19" s="197"/>
      <c r="Q19" s="198"/>
      <c r="R19" s="199"/>
      <c r="X19" s="203"/>
      <c r="Y19" s="203"/>
      <c r="Z19" s="203"/>
      <c r="AB19" s="185"/>
      <c r="AC19" s="205"/>
      <c r="AD19" s="200"/>
    </row>
    <row r="20" spans="2:30" s="192" customFormat="1" ht="15" customHeight="1" x14ac:dyDescent="0.3">
      <c r="C20" s="208" t="s">
        <v>143</v>
      </c>
      <c r="D20" s="207"/>
      <c r="F20" s="207"/>
      <c r="J20" s="193"/>
      <c r="K20" s="193"/>
      <c r="L20" s="193"/>
      <c r="M20" s="194"/>
      <c r="N20" s="195"/>
      <c r="O20" s="196"/>
      <c r="P20" s="197"/>
      <c r="Q20" s="198"/>
      <c r="R20" s="199"/>
      <c r="X20" s="203"/>
      <c r="Y20" s="203"/>
      <c r="Z20" s="203"/>
      <c r="AB20" s="205"/>
    </row>
    <row r="21" spans="2:30" s="192" customFormat="1" ht="16.5" x14ac:dyDescent="0.3">
      <c r="C21" s="209"/>
      <c r="D21" s="205" t="s">
        <v>46</v>
      </c>
      <c r="F21" s="205"/>
      <c r="G21" s="210"/>
      <c r="H21" s="210"/>
      <c r="I21" s="210"/>
      <c r="J21" s="193"/>
      <c r="K21" s="193"/>
      <c r="L21" s="193"/>
      <c r="M21" s="194"/>
      <c r="N21" s="211"/>
      <c r="O21" s="212"/>
      <c r="P21" s="212"/>
      <c r="Q21" s="212"/>
      <c r="R21" s="212"/>
      <c r="S21" s="213"/>
      <c r="T21" s="213"/>
      <c r="U21" s="213"/>
      <c r="V21" s="185"/>
      <c r="Y21" s="185"/>
      <c r="Z21" s="205"/>
      <c r="AA21" s="185"/>
      <c r="AB21" s="205"/>
    </row>
    <row r="22" spans="2:30" s="192" customFormat="1" ht="15" customHeight="1" x14ac:dyDescent="0.3">
      <c r="C22" s="214"/>
      <c r="D22" s="205" t="s">
        <v>147</v>
      </c>
      <c r="F22" s="205"/>
      <c r="G22" s="210"/>
      <c r="H22" s="210"/>
      <c r="I22" s="210"/>
      <c r="J22" s="213"/>
      <c r="K22" s="213"/>
      <c r="L22" s="213"/>
      <c r="M22" s="194"/>
      <c r="N22" s="215"/>
      <c r="O22" s="216"/>
      <c r="P22" s="216"/>
      <c r="Q22" s="198"/>
      <c r="R22" s="216"/>
      <c r="S22" s="213"/>
      <c r="T22" s="213"/>
      <c r="U22" s="213"/>
      <c r="V22" s="185"/>
      <c r="AB22" s="185"/>
      <c r="AC22" s="185"/>
    </row>
    <row r="23" spans="2:30" s="192" customFormat="1" ht="15" customHeight="1" x14ac:dyDescent="0.3">
      <c r="C23" s="184"/>
      <c r="D23" s="185"/>
      <c r="E23" s="185"/>
      <c r="F23" s="185"/>
      <c r="G23" s="213"/>
      <c r="H23" s="213"/>
      <c r="I23" s="213"/>
      <c r="J23" s="193"/>
      <c r="K23" s="193"/>
      <c r="L23" s="193"/>
      <c r="M23" s="194"/>
      <c r="N23" s="217"/>
      <c r="O23" s="197"/>
      <c r="P23" s="197"/>
      <c r="Q23" s="198"/>
      <c r="R23" s="197"/>
      <c r="S23" s="213"/>
      <c r="T23" s="213"/>
      <c r="U23" s="213"/>
      <c r="V23" s="185"/>
      <c r="AB23" s="185"/>
      <c r="AC23" s="185"/>
    </row>
    <row r="24" spans="2:30" s="192" customFormat="1" ht="15" customHeight="1" x14ac:dyDescent="0.3">
      <c r="C24" s="184"/>
      <c r="D24" s="185"/>
      <c r="E24" s="185"/>
      <c r="F24" s="185"/>
      <c r="G24" s="213"/>
      <c r="H24" s="213"/>
      <c r="I24" s="213"/>
      <c r="J24" s="193"/>
      <c r="K24" s="193"/>
      <c r="L24" s="193"/>
      <c r="M24" s="194"/>
      <c r="N24" s="217"/>
      <c r="O24" s="197"/>
      <c r="P24" s="197"/>
      <c r="Q24" s="198"/>
      <c r="R24" s="197"/>
      <c r="S24" s="213"/>
      <c r="T24" s="213"/>
      <c r="U24" s="213"/>
      <c r="V24" s="185"/>
      <c r="AB24" s="185"/>
      <c r="AC24" s="185"/>
    </row>
    <row r="25" spans="2:30" s="192" customFormat="1" ht="15" customHeight="1" x14ac:dyDescent="0.3">
      <c r="C25" s="184"/>
      <c r="D25" s="185"/>
      <c r="E25" s="185"/>
      <c r="F25" s="185"/>
      <c r="G25" s="213"/>
      <c r="H25" s="213"/>
      <c r="I25" s="213"/>
      <c r="J25" s="193"/>
      <c r="K25" s="193"/>
      <c r="L25" s="193"/>
      <c r="M25" s="194"/>
      <c r="N25" s="217"/>
      <c r="O25" s="197"/>
      <c r="P25" s="197"/>
      <c r="Q25" s="198"/>
      <c r="R25" s="197"/>
      <c r="S25" s="213"/>
      <c r="T25" s="213"/>
      <c r="U25" s="213"/>
      <c r="V25" s="185"/>
      <c r="AB25" s="185"/>
      <c r="AC25" s="185"/>
    </row>
    <row r="26" spans="2:30" s="39" customFormat="1" ht="15" customHeight="1" thickBot="1" x14ac:dyDescent="0.35">
      <c r="C26" s="223"/>
      <c r="D26" s="38"/>
      <c r="E26" s="38"/>
      <c r="F26" s="38"/>
      <c r="G26" s="299" t="s">
        <v>158</v>
      </c>
      <c r="H26" s="299"/>
      <c r="I26" s="299"/>
      <c r="J26" s="224"/>
      <c r="K26" s="299" t="s">
        <v>159</v>
      </c>
      <c r="L26" s="299"/>
      <c r="M26" s="299"/>
      <c r="N26" s="225"/>
      <c r="O26" s="299" t="s">
        <v>160</v>
      </c>
      <c r="P26" s="299"/>
      <c r="Q26" s="299"/>
      <c r="R26" s="226"/>
      <c r="S26" s="299" t="s">
        <v>162</v>
      </c>
      <c r="T26" s="299"/>
      <c r="U26" s="299"/>
      <c r="V26" s="38"/>
      <c r="AB26" s="38"/>
      <c r="AC26" s="38"/>
    </row>
    <row r="27" spans="2:30" s="39" customFormat="1" ht="7.5" customHeight="1" thickTop="1" thickBot="1" x14ac:dyDescent="0.35">
      <c r="C27" s="223"/>
      <c r="D27" s="38"/>
      <c r="E27" s="38"/>
      <c r="F27" s="38"/>
      <c r="G27" s="227"/>
      <c r="H27" s="228"/>
      <c r="I27" s="229"/>
      <c r="J27" s="38"/>
      <c r="K27" s="229"/>
      <c r="L27" s="230"/>
      <c r="M27" s="229"/>
      <c r="N27" s="231"/>
      <c r="O27" s="229"/>
      <c r="P27" s="231"/>
      <c r="Q27" s="229"/>
      <c r="R27" s="231"/>
      <c r="S27" s="229"/>
      <c r="T27" s="231"/>
      <c r="U27" s="229"/>
      <c r="V27" s="38"/>
      <c r="W27" s="232"/>
      <c r="X27" s="232"/>
      <c r="Y27" s="38"/>
      <c r="Z27" s="38"/>
      <c r="AA27" s="38"/>
      <c r="AB27" s="38"/>
      <c r="AC27" s="38"/>
    </row>
    <row r="28" spans="2:30" s="233" customFormat="1" ht="11.5" thickTop="1" thickBot="1" x14ac:dyDescent="0.3">
      <c r="D28" s="234"/>
      <c r="E28" s="234"/>
      <c r="F28" s="234"/>
      <c r="G28" s="235" t="s">
        <v>153</v>
      </c>
      <c r="H28" s="236"/>
      <c r="I28" s="235" t="s">
        <v>154</v>
      </c>
      <c r="J28" s="234"/>
      <c r="K28" s="235" t="s">
        <v>153</v>
      </c>
      <c r="L28" s="234"/>
      <c r="M28" s="235" t="s">
        <v>154</v>
      </c>
      <c r="N28" s="237"/>
      <c r="O28" s="235" t="s">
        <v>153</v>
      </c>
      <c r="P28" s="238"/>
      <c r="Q28" s="235" t="s">
        <v>154</v>
      </c>
      <c r="R28" s="238"/>
      <c r="S28" s="235" t="s">
        <v>153</v>
      </c>
      <c r="T28" s="234"/>
      <c r="U28" s="235" t="s">
        <v>154</v>
      </c>
      <c r="V28" s="234"/>
      <c r="AB28" s="234"/>
      <c r="AC28" s="234"/>
    </row>
    <row r="29" spans="2:30" s="39" customFormat="1" ht="21.75" customHeight="1" thickTop="1" x14ac:dyDescent="0.3">
      <c r="B29" s="304" t="s">
        <v>156</v>
      </c>
      <c r="C29" s="305"/>
      <c r="D29" s="294" t="s">
        <v>47</v>
      </c>
      <c r="E29" s="294"/>
      <c r="F29" s="239"/>
      <c r="G29" s="240">
        <f ca="1">Working!D24</f>
        <v>0</v>
      </c>
      <c r="H29" s="241"/>
      <c r="I29" s="242">
        <f ca="1">Working!D29</f>
        <v>0</v>
      </c>
      <c r="J29" s="243"/>
      <c r="K29" s="244">
        <f ca="1">Working!D26</f>
        <v>0</v>
      </c>
      <c r="L29" s="245"/>
      <c r="M29" s="244">
        <f ca="1">Working!D31</f>
        <v>0</v>
      </c>
      <c r="N29" s="246"/>
      <c r="O29" s="244">
        <f ca="1">Working!D27</f>
        <v>0</v>
      </c>
      <c r="P29" s="247"/>
      <c r="Q29" s="244">
        <f ca="1">Working!D32</f>
        <v>0</v>
      </c>
      <c r="R29" s="247"/>
      <c r="S29" s="248">
        <f ca="1">O29+K29</f>
        <v>0</v>
      </c>
      <c r="T29" s="241"/>
      <c r="U29" s="248">
        <f ca="1">Q29+M29</f>
        <v>0</v>
      </c>
      <c r="V29" s="38"/>
      <c r="AB29" s="38"/>
      <c r="AC29" s="38"/>
    </row>
    <row r="30" spans="2:30" s="39" customFormat="1" ht="21.75" customHeight="1" thickBot="1" x14ac:dyDescent="0.35">
      <c r="B30" s="306"/>
      <c r="C30" s="307"/>
      <c r="D30" s="295" t="s">
        <v>46</v>
      </c>
      <c r="E30" s="296"/>
      <c r="F30" s="239"/>
      <c r="G30" s="249">
        <f ca="1">Working!C24</f>
        <v>1.0451388888888888</v>
      </c>
      <c r="H30" s="241"/>
      <c r="I30" s="250">
        <f ca="1">Working!C29</f>
        <v>0.14930555555555555</v>
      </c>
      <c r="J30" s="243"/>
      <c r="K30" s="251">
        <f ca="1">Working!C26</f>
        <v>0.19457947530864197</v>
      </c>
      <c r="L30" s="252"/>
      <c r="M30" s="251">
        <f ca="1">Working!C31</f>
        <v>2.7797067901234568E-2</v>
      </c>
      <c r="N30" s="253"/>
      <c r="O30" s="251">
        <f ca="1">Working!C27</f>
        <v>0.21773726851851852</v>
      </c>
      <c r="P30" s="254"/>
      <c r="Q30" s="251">
        <f ca="1">Working!C32</f>
        <v>3.1105324074074077E-2</v>
      </c>
      <c r="R30" s="254"/>
      <c r="S30" s="251">
        <f ca="1">O30+K30</f>
        <v>0.41231674382716049</v>
      </c>
      <c r="T30" s="241"/>
      <c r="U30" s="251">
        <f ca="1">Q30+M30</f>
        <v>5.8902391975308645E-2</v>
      </c>
      <c r="V30" s="38"/>
      <c r="AB30" s="38"/>
      <c r="AC30" s="38"/>
    </row>
    <row r="31" spans="2:30" s="38" customFormat="1" ht="15.65" customHeight="1" thickTop="1" thickBot="1" x14ac:dyDescent="0.35">
      <c r="B31" s="308"/>
      <c r="C31" s="309"/>
      <c r="D31" s="297" t="s">
        <v>67</v>
      </c>
      <c r="E31" s="297"/>
      <c r="F31" s="239"/>
      <c r="G31" s="300">
        <f ca="1">Working!E24</f>
        <v>-1</v>
      </c>
      <c r="H31" s="301"/>
      <c r="I31" s="302"/>
      <c r="J31" s="255"/>
      <c r="K31" s="300">
        <f ca="1">Working!E26</f>
        <v>-1</v>
      </c>
      <c r="L31" s="301"/>
      <c r="M31" s="302"/>
      <c r="N31" s="256"/>
      <c r="O31" s="300">
        <f ca="1">Working!E27</f>
        <v>-1</v>
      </c>
      <c r="P31" s="301"/>
      <c r="Q31" s="302"/>
      <c r="R31" s="226"/>
      <c r="S31" s="300">
        <f ca="1">Working!E25</f>
        <v>-1</v>
      </c>
      <c r="T31" s="301"/>
      <c r="U31" s="302"/>
    </row>
    <row r="32" spans="2:30" s="38" customFormat="1" ht="15" customHeight="1" thickTop="1" thickBot="1" x14ac:dyDescent="0.35">
      <c r="B32" s="310" t="s">
        <v>155</v>
      </c>
      <c r="C32" s="311"/>
      <c r="D32" s="298" t="s">
        <v>50</v>
      </c>
      <c r="E32" s="298"/>
      <c r="F32" s="239"/>
      <c r="G32" s="257">
        <f ca="1">Working!F24</f>
        <v>1.3377777777777777</v>
      </c>
      <c r="H32" s="258"/>
      <c r="I32" s="257">
        <f ca="1">Working!F29</f>
        <v>0.19111111111111112</v>
      </c>
      <c r="J32" s="241"/>
      <c r="K32" s="259">
        <f ca="1">Working!F26</f>
        <v>0.24906172839506174</v>
      </c>
      <c r="L32" s="252"/>
      <c r="M32" s="259">
        <f ca="1">Working!F31</f>
        <v>3.5580246913580249E-2</v>
      </c>
      <c r="N32" s="260"/>
      <c r="O32" s="259">
        <f ca="1">Working!F27</f>
        <v>0.27870370370370368</v>
      </c>
      <c r="P32" s="261"/>
      <c r="Q32" s="259">
        <f ca="1">Working!F32</f>
        <v>3.9814814814814817E-2</v>
      </c>
      <c r="R32" s="261"/>
      <c r="S32" s="259">
        <f ca="1">O32+K32</f>
        <v>0.52776543209876547</v>
      </c>
      <c r="T32" s="241"/>
      <c r="U32" s="259">
        <f ca="1">Q32+M32</f>
        <v>7.5395061728395066E-2</v>
      </c>
    </row>
    <row r="33" spans="2:21" s="38" customFormat="1" ht="15" customHeight="1" thickTop="1" thickBot="1" x14ac:dyDescent="0.35">
      <c r="B33" s="310"/>
      <c r="C33" s="311"/>
      <c r="D33" s="291" t="s">
        <v>112</v>
      </c>
      <c r="E33" s="292"/>
      <c r="F33" s="239"/>
      <c r="G33" s="300" t="str">
        <f ca="1">Working!G24</f>
        <v>+100%</v>
      </c>
      <c r="H33" s="301"/>
      <c r="I33" s="302"/>
      <c r="K33" s="300" t="str">
        <f ca="1">Working!G26</f>
        <v>+100%</v>
      </c>
      <c r="L33" s="301"/>
      <c r="M33" s="302"/>
      <c r="N33" s="256"/>
      <c r="O33" s="300" t="str">
        <f ca="1">Working!G27</f>
        <v>+100%</v>
      </c>
      <c r="P33" s="301"/>
      <c r="Q33" s="302"/>
      <c r="R33" s="226"/>
      <c r="S33" s="300" t="str">
        <f ca="1">Working!G25</f>
        <v>+100%</v>
      </c>
      <c r="T33" s="301"/>
      <c r="U33" s="302"/>
    </row>
    <row r="34" spans="2:21" ht="14.5" thickTop="1" x14ac:dyDescent="0.3">
      <c r="D34" s="218"/>
      <c r="E34" s="218"/>
      <c r="F34" s="218"/>
      <c r="G34" s="218"/>
      <c r="H34" s="218"/>
      <c r="I34" s="218"/>
      <c r="N34" s="219"/>
      <c r="O34" s="197"/>
      <c r="P34" s="197"/>
      <c r="Q34" s="198"/>
      <c r="R34" s="197"/>
    </row>
    <row r="35" spans="2:21" x14ac:dyDescent="0.3">
      <c r="B35" s="185" t="s">
        <v>208</v>
      </c>
      <c r="D35" s="218"/>
      <c r="E35" s="218"/>
      <c r="F35" s="218"/>
      <c r="G35" s="218"/>
      <c r="H35" s="218"/>
      <c r="I35" s="218"/>
      <c r="N35" s="219"/>
      <c r="O35" s="197"/>
      <c r="P35" s="197"/>
      <c r="Q35" s="198"/>
      <c r="R35" s="197"/>
    </row>
    <row r="36" spans="2:21" ht="15" customHeight="1" x14ac:dyDescent="0.3">
      <c r="J36" s="220"/>
      <c r="K36" s="218"/>
      <c r="N36" s="219"/>
      <c r="O36" s="197"/>
      <c r="P36" s="197"/>
      <c r="Q36" s="198"/>
      <c r="R36" s="197"/>
    </row>
    <row r="37" spans="2:21" ht="15" customHeight="1" x14ac:dyDescent="0.3"/>
    <row r="38" spans="2:21" ht="15" customHeight="1" x14ac:dyDescent="0.3"/>
    <row r="39" spans="2:21" ht="15" customHeight="1" x14ac:dyDescent="0.3">
      <c r="O39" s="221"/>
      <c r="Q39" s="222"/>
    </row>
    <row r="40" spans="2:21" ht="15" customHeight="1" x14ac:dyDescent="0.3"/>
    <row r="45" spans="2:21" ht="15" customHeight="1" x14ac:dyDescent="0.3"/>
  </sheetData>
  <sheetProtection algorithmName="SHA-512" hashValue="OoHBAyYpJba4nIyA9PEVTM/FtSmWD+3rErcMIVEZLSkuISHso3TSef058RWTvRQfXGuCrkDQqRRsLjRF2ilPhw==" saltValue="yBnf2ZHmb2XYMt2xmQyz4w==" spinCount="100000" sheet="1" selectLockedCells="1" autoFilter="0" pivotTables="0"/>
  <mergeCells count="25">
    <mergeCell ref="O33:Q33"/>
    <mergeCell ref="S7:V12"/>
    <mergeCell ref="B29:C31"/>
    <mergeCell ref="B32:C33"/>
    <mergeCell ref="K15:L15"/>
    <mergeCell ref="G31:I31"/>
    <mergeCell ref="M7:P7"/>
    <mergeCell ref="S31:U31"/>
    <mergeCell ref="S33:U33"/>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s>
  <conditionalFormatting sqref="G31">
    <cfRule type="cellIs" dxfId="49" priority="21" operator="greaterThanOrEqual">
      <formula>0.0001</formula>
    </cfRule>
    <cfRule type="cellIs" dxfId="48" priority="22" operator="lessThan">
      <formula>0</formula>
    </cfRule>
  </conditionalFormatting>
  <conditionalFormatting sqref="G33">
    <cfRule type="cellIs" dxfId="47" priority="7" operator="lessThan">
      <formula>0</formula>
    </cfRule>
    <cfRule type="cellIs" dxfId="46" priority="8" operator="greaterThanOrEqual">
      <formula>0.00001</formula>
    </cfRule>
  </conditionalFormatting>
  <conditionalFormatting sqref="K31">
    <cfRule type="cellIs" dxfId="45" priority="13" operator="greaterThanOrEqual">
      <formula>0.0001</formula>
    </cfRule>
    <cfRule type="cellIs" dxfId="44" priority="14" operator="lessThan">
      <formula>0</formula>
    </cfRule>
  </conditionalFormatting>
  <conditionalFormatting sqref="K33">
    <cfRule type="cellIs" dxfId="43" priority="5" operator="lessThan">
      <formula>0</formula>
    </cfRule>
    <cfRule type="cellIs" dxfId="42" priority="6" operator="greaterThanOrEqual">
      <formula>0.00001</formula>
    </cfRule>
  </conditionalFormatting>
  <conditionalFormatting sqref="O31">
    <cfRule type="cellIs" dxfId="41" priority="11" operator="greaterThanOrEqual">
      <formula>0.0001</formula>
    </cfRule>
    <cfRule type="cellIs" dxfId="40" priority="12" operator="lessThan">
      <formula>0</formula>
    </cfRule>
  </conditionalFormatting>
  <conditionalFormatting sqref="O33">
    <cfRule type="cellIs" dxfId="39" priority="3" operator="lessThan">
      <formula>0</formula>
    </cfRule>
    <cfRule type="cellIs" dxfId="38" priority="4" operator="greaterThanOrEqual">
      <formula>0.00001</formula>
    </cfRule>
  </conditionalFormatting>
  <conditionalFormatting sqref="S31">
    <cfRule type="cellIs" dxfId="37" priority="9" operator="greaterThanOrEqual">
      <formula>0.0001</formula>
    </cfRule>
    <cfRule type="cellIs" dxfId="36" priority="10" operator="lessThan">
      <formula>0</formula>
    </cfRule>
  </conditionalFormatting>
  <conditionalFormatting sqref="S33">
    <cfRule type="cellIs" dxfId="35" priority="1" operator="lessThan">
      <formula>0</formula>
    </cfRule>
    <cfRule type="cellIs" dxfId="34" priority="2" operator="greaterThanOrEqual">
      <formula>0.00001</formula>
    </cfRule>
  </conditionalFormatting>
  <dataValidations disablePrompts="1"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topLeftCell="A73" zoomScale="70" zoomScaleNormal="70" workbookViewId="0">
      <selection activeCell="B97" sqref="B97"/>
    </sheetView>
  </sheetViews>
  <sheetFormatPr defaultColWidth="8.7265625" defaultRowHeight="14" x14ac:dyDescent="0.3"/>
  <cols>
    <col min="1" max="1" width="8.7265625" style="85"/>
    <col min="2" max="2" width="13.36328125" style="85" bestFit="1" customWidth="1"/>
    <col min="3" max="3" width="20.26953125" style="85" bestFit="1" customWidth="1"/>
    <col min="4" max="4" width="9.26953125" style="85" customWidth="1"/>
    <col min="5" max="5" width="22.453125" style="85" customWidth="1"/>
    <col min="6" max="6" width="9.54296875" style="85" customWidth="1"/>
    <col min="7" max="7" width="15.81640625" style="85" customWidth="1"/>
    <col min="8" max="8" width="10.26953125" style="85" customWidth="1"/>
    <col min="9" max="9" width="8.7265625" style="85"/>
    <col min="10" max="10" width="15.54296875" style="85" bestFit="1" customWidth="1"/>
    <col min="11" max="11" width="24.81640625" style="108" bestFit="1" customWidth="1"/>
    <col min="12" max="13" width="9.1796875" style="108"/>
    <col min="14" max="14" width="26.7265625" style="85" bestFit="1" customWidth="1"/>
    <col min="15" max="16384" width="8.7265625" style="85"/>
  </cols>
  <sheetData>
    <row r="2" spans="2:14" x14ac:dyDescent="0.3">
      <c r="B2" s="84" t="s">
        <v>132</v>
      </c>
      <c r="C2" s="84"/>
      <c r="E2" s="86" t="s">
        <v>56</v>
      </c>
      <c r="F2" s="86" t="s">
        <v>58</v>
      </c>
      <c r="G2" s="86" t="s">
        <v>61</v>
      </c>
      <c r="H2" s="86" t="s">
        <v>60</v>
      </c>
      <c r="I2" s="86" t="s">
        <v>57</v>
      </c>
      <c r="J2" s="86" t="s">
        <v>59</v>
      </c>
      <c r="K2" s="87" t="s">
        <v>55</v>
      </c>
      <c r="L2" s="85"/>
      <c r="M2" s="85"/>
    </row>
    <row r="3" spans="2:14" ht="15.5" x14ac:dyDescent="0.3">
      <c r="B3" s="88" t="s">
        <v>65</v>
      </c>
      <c r="C3" s="15">
        <f>'⏱ Input'!T4</f>
        <v>8.0055555555555564</v>
      </c>
      <c r="D3" s="89"/>
      <c r="E3" s="90">
        <f>'📝 Instructions'!F8</f>
        <v>45301</v>
      </c>
      <c r="F3" s="91">
        <v>1</v>
      </c>
      <c r="G3" s="91">
        <f>Table134[[#This Row],[Diff %]]</f>
        <v>0</v>
      </c>
      <c r="H3" s="92">
        <v>0</v>
      </c>
      <c r="I3" s="93">
        <f>Table134[[#This Row],[Difference]]/$F$7</f>
        <v>3.1847133757961785E-3</v>
      </c>
      <c r="J3" s="93"/>
      <c r="K3" s="94" t="str">
        <f>"Start "&amp;CHAR(10)&amp;TEXT(Table134[[#This Row],[YEAR]],"dd-mmm-yy")</f>
        <v>Start 
10-Jan-24</v>
      </c>
      <c r="L3" s="85"/>
      <c r="M3" s="85"/>
    </row>
    <row r="4" spans="2:14" ht="15.5" x14ac:dyDescent="0.3">
      <c r="B4" s="88" t="s">
        <v>134</v>
      </c>
      <c r="C4" s="15">
        <f>('📊 Summary'!I10*'⏱ Input'!V4)/24</f>
        <v>8.9583333333333339</v>
      </c>
      <c r="D4" s="89"/>
      <c r="E4" s="90">
        <f ca="1">TODAY()</f>
        <v>45364</v>
      </c>
      <c r="F4" s="91">
        <f ca="1">Table134[[#This Row],[YEAR]]-$E$3</f>
        <v>63</v>
      </c>
      <c r="G4" s="91">
        <f ca="1">Table134[[#This Row],[Diff %]]</f>
        <v>0.19745222929936307</v>
      </c>
      <c r="H4" s="92">
        <f ca="1">Table134[[#This Row],[%]]-I3</f>
        <v>0.19745222929936307</v>
      </c>
      <c r="I4" s="93">
        <f ca="1">Table134[[#This Row],[Difference]]/$F$7</f>
        <v>0.20063694267515925</v>
      </c>
      <c r="J4" s="95" t="str">
        <f ca="1">Table134[[#This Row],[YEAR]]-E3&amp;" days over"</f>
        <v>63 days over</v>
      </c>
      <c r="K4" s="94" t="str">
        <f ca="1">"Today "&amp;TEXT(Table134[[#This Row],[YEAR]],"dd-mmm-yy")</f>
        <v>Today 13-Mar-24</v>
      </c>
      <c r="L4" s="85"/>
      <c r="M4" s="85"/>
    </row>
    <row r="5" spans="2:14" ht="15.5" x14ac:dyDescent="0.3">
      <c r="B5" s="82" t="s">
        <v>66</v>
      </c>
      <c r="C5" s="15">
        <f>SUM(C3:C4)</f>
        <v>16.963888888888889</v>
      </c>
      <c r="D5" s="89"/>
      <c r="E5" s="90">
        <f>E6-'📊 Summary'!I12</f>
        <v>45589</v>
      </c>
      <c r="F5" s="91">
        <f>Table134[[#This Row],[YEAR]]-$E$3</f>
        <v>288</v>
      </c>
      <c r="G5" s="91">
        <f ca="1">Table134[[#This Row],[Diff %]]</f>
        <v>0.71656050955414008</v>
      </c>
      <c r="H5" s="92">
        <f ca="1">Table134[[#This Row],[%]]-I4</f>
        <v>0.71656050955414008</v>
      </c>
      <c r="I5" s="93">
        <f>Table134[[#This Row],[Difference]]/$F$7</f>
        <v>0.91719745222929938</v>
      </c>
      <c r="J5" s="95" t="str">
        <f ca="1">IF(E4&gt;Table134[[#This Row],[YEAR]],Table134[[#This Row],[YEAR]]-E3,Table134[[#This Row],[YEAR]]-E4)&amp;" study days left"</f>
        <v>225 study days left</v>
      </c>
      <c r="K5" s="94" t="str">
        <f>"Lecture Completed "&amp;TEXT(Table134[[#This Row],[YEAR]],"dd-mmm-yy")</f>
        <v>Lecture Completed 24-Oct-24</v>
      </c>
      <c r="L5" s="85"/>
      <c r="M5" s="85"/>
    </row>
    <row r="6" spans="2:14" ht="15.5" x14ac:dyDescent="0.3">
      <c r="B6" s="82" t="s">
        <v>133</v>
      </c>
      <c r="C6" s="124">
        <f>C5/(((('📊 Summary'!I8*5)+('📊 Summary'!I9*2))/24)/7)</f>
        <v>99.997660818713442</v>
      </c>
      <c r="D6" s="96"/>
      <c r="E6" s="90">
        <f>E7-'📊 Summary'!I11</f>
        <v>45594</v>
      </c>
      <c r="F6" s="91">
        <f>Table134[[#This Row],[YEAR]]-$E$3</f>
        <v>293</v>
      </c>
      <c r="G6" s="91">
        <f>Table134[[#This Row],[Diff %]]</f>
        <v>1.5923566878980888E-2</v>
      </c>
      <c r="H6" s="92">
        <f>Table134[[#This Row],[%]]-I5</f>
        <v>1.5923566878980888E-2</v>
      </c>
      <c r="I6" s="93">
        <f>Table134[[#This Row],[Difference]]/$F$7</f>
        <v>0.93312101910828027</v>
      </c>
      <c r="J6" s="95" t="str">
        <f>Table134[[#This Row],[YEAR]]-E5&amp;"  buffer days"</f>
        <v>5  buffer days</v>
      </c>
      <c r="K6" s="94" t="str">
        <f>"Start Revision "&amp;TEXT(Table134[[#This Row],[YEAR]],"dd-mmm-yy")</f>
        <v>Start Revision 29-Oct-24</v>
      </c>
      <c r="L6" s="85"/>
      <c r="M6" s="85"/>
    </row>
    <row r="7" spans="2:14" x14ac:dyDescent="0.3">
      <c r="E7" s="90">
        <f>'📝 Instructions'!F9</f>
        <v>45615</v>
      </c>
      <c r="F7" s="91">
        <f>Table134[[#This Row],[YEAR]]-$E$3</f>
        <v>314</v>
      </c>
      <c r="G7" s="91">
        <f>Table134[[#This Row],[Diff %]]</f>
        <v>6.687898089171973E-2</v>
      </c>
      <c r="H7" s="92">
        <f>Table134[[#This Row],[%]]-I6</f>
        <v>6.687898089171973E-2</v>
      </c>
      <c r="I7" s="93">
        <f>Table134[[#This Row],[Difference]]/$F$7</f>
        <v>1</v>
      </c>
      <c r="J7" s="95" t="str">
        <f>Table134[[#This Row],[YEAR]]-E6&amp;" revision days"</f>
        <v>21 revision days</v>
      </c>
      <c r="K7" s="94" t="str">
        <f>"Exam "&amp;TEXT(Table134[[#This Row],[YEAR]],"dd-mmm-yy")</f>
        <v>Exam 19-Nov-24</v>
      </c>
      <c r="L7" s="85"/>
      <c r="M7" s="85"/>
    </row>
    <row r="8" spans="2:14" ht="15.5" x14ac:dyDescent="0.3">
      <c r="B8" s="85" t="s">
        <v>136</v>
      </c>
      <c r="C8" s="15">
        <f ca="1">('⏱ Input'!T4-'⏱ Input'!T5)/F17</f>
        <v>0.24906172839506174</v>
      </c>
      <c r="E8" s="97"/>
      <c r="F8" s="98"/>
      <c r="G8" s="98"/>
      <c r="H8" s="99">
        <f ca="1">SUBTOTAL(109,Table134[Diff %])</f>
        <v>0.99681528662420371</v>
      </c>
      <c r="I8" s="100"/>
      <c r="J8" s="101"/>
      <c r="K8" s="102"/>
      <c r="L8" s="85"/>
      <c r="M8" s="85"/>
    </row>
    <row r="9" spans="2:14" ht="18" x14ac:dyDescent="0.3">
      <c r="C9" s="103"/>
      <c r="E9" s="104"/>
      <c r="F9" s="105"/>
      <c r="G9" s="105"/>
      <c r="H9" s="106"/>
      <c r="I9" s="107"/>
      <c r="J9" s="108"/>
      <c r="K9" s="85"/>
      <c r="L9" s="85"/>
      <c r="M9" s="85"/>
    </row>
    <row r="10" spans="2:14" ht="46.5" x14ac:dyDescent="0.3">
      <c r="B10" s="80" t="s">
        <v>45</v>
      </c>
      <c r="C10" s="81">
        <f ca="1">'📝 Instructions'!F9-TODAY()</f>
        <v>251</v>
      </c>
      <c r="E10" s="104"/>
      <c r="F10" s="105"/>
      <c r="G10" s="105"/>
      <c r="H10" s="106"/>
      <c r="I10" s="107"/>
      <c r="J10" s="108"/>
      <c r="K10" s="85"/>
      <c r="L10" s="85"/>
      <c r="M10" s="85"/>
    </row>
    <row r="11" spans="2:14" ht="15.5" x14ac:dyDescent="0.3">
      <c r="B11" s="82" t="s">
        <v>62</v>
      </c>
      <c r="C11" s="81">
        <f ca="1">IF(C10&lt;SUM('📊 Summary'!I11:I12),0,C10-'📊 Summary'!I11-'📊 Summary'!I12)</f>
        <v>225</v>
      </c>
      <c r="E11" s="104"/>
      <c r="F11" s="105"/>
      <c r="G11" s="105"/>
      <c r="H11" s="106"/>
      <c r="I11" s="107"/>
      <c r="J11" s="108"/>
      <c r="K11" s="85"/>
      <c r="L11" s="85"/>
      <c r="M11" s="85"/>
    </row>
    <row r="12" spans="2:14" ht="15.5" x14ac:dyDescent="0.3">
      <c r="B12" s="82" t="s">
        <v>52</v>
      </c>
      <c r="C12" s="83">
        <f>((('📊 Summary'!I8*5)+('📊 Summary'!I9*2))/7)*F21</f>
        <v>32.594047619047622</v>
      </c>
      <c r="E12" s="104"/>
      <c r="F12" s="105"/>
      <c r="G12" s="105"/>
      <c r="H12" s="106"/>
      <c r="I12" s="107"/>
      <c r="J12" s="108"/>
      <c r="K12" s="85"/>
      <c r="L12" s="85"/>
      <c r="M12" s="85"/>
    </row>
    <row r="14" spans="2:14" ht="15.5" x14ac:dyDescent="0.3">
      <c r="B14" s="314"/>
      <c r="C14" s="315" t="s">
        <v>51</v>
      </c>
      <c r="D14" s="315"/>
      <c r="E14" s="315"/>
      <c r="F14" s="109" t="s">
        <v>49</v>
      </c>
      <c r="G14" s="110"/>
    </row>
    <row r="15" spans="2:14" ht="15.5" x14ac:dyDescent="0.3">
      <c r="B15" s="314"/>
      <c r="C15" s="110" t="s">
        <v>46</v>
      </c>
      <c r="D15" s="110" t="s">
        <v>47</v>
      </c>
      <c r="E15" s="110" t="s">
        <v>67</v>
      </c>
      <c r="F15" s="110" t="s">
        <v>50</v>
      </c>
      <c r="G15" s="110" t="s">
        <v>112</v>
      </c>
      <c r="K15" s="85"/>
      <c r="N15" s="108"/>
    </row>
    <row r="16" spans="2:14" ht="31" x14ac:dyDescent="0.3">
      <c r="B16" s="111" t="s">
        <v>54</v>
      </c>
      <c r="C16" s="112">
        <f ca="1">('⏱ Input'!V4/('📝 Instructions'!F9-'📝 Instructions'!F8-'📊 Summary'!I11-'📊 Summary'!I12))*(TODAY()-'📝 Instructions'!F8)</f>
        <v>9.40625</v>
      </c>
      <c r="D16" s="112">
        <f>SUMIFS(Master_Data[No. of chapters],Master_Data[Lectures],"d",Master_Data[Self Study],"d")</f>
        <v>0</v>
      </c>
      <c r="E16" s="20">
        <f ca="1">IF((D16-C16)/C16&gt;0,"+"&amp;ROUND(((D16-C16)/C16)*100,0)&amp;"%",ROUND(((D16-C16)/C16),2))</f>
        <v>-1</v>
      </c>
      <c r="F16" s="112">
        <f>SUMIFS(Master_Data[No. of chapters],Master_Data[Lectures],"U",Master_Data[Self Study],"U")</f>
        <v>43</v>
      </c>
      <c r="G16" s="19" t="str">
        <f>IFERROR(IF((F16-D16)/F16&gt;0,"+"&amp;ROUND(((F16-D16)/F16)*100,0)&amp;"%",ROUND(((F16-D16)/F16),2)),"-")</f>
        <v>+100%</v>
      </c>
      <c r="H16" s="131"/>
      <c r="K16" s="85"/>
      <c r="N16" s="108"/>
    </row>
    <row r="17" spans="2:14" ht="31" x14ac:dyDescent="0.3">
      <c r="B17" s="111" t="s">
        <v>84</v>
      </c>
      <c r="C17" s="78">
        <f ca="1">C18/7</f>
        <v>9</v>
      </c>
      <c r="D17" s="78">
        <f ca="1">D18/7</f>
        <v>9</v>
      </c>
      <c r="E17" s="20"/>
      <c r="F17" s="78">
        <f ca="1">F18/7</f>
        <v>32.142857142857146</v>
      </c>
      <c r="G17" s="19"/>
      <c r="K17" s="85"/>
      <c r="N17" s="108"/>
    </row>
    <row r="18" spans="2:14" ht="31" x14ac:dyDescent="0.3">
      <c r="B18" s="111" t="s">
        <v>85</v>
      </c>
      <c r="C18" s="79">
        <f ca="1">TODAY()-'📝 Instructions'!F8</f>
        <v>63</v>
      </c>
      <c r="D18" s="79">
        <f ca="1">TODAY()-'📝 Instructions'!F8</f>
        <v>63</v>
      </c>
      <c r="E18" s="20"/>
      <c r="F18" s="79">
        <f ca="1">IF(C10&lt;SUM('📊 Summary'!I11:I12),0,Working!C10-'📊 Summary'!I11-'📊 Summary'!I12)</f>
        <v>225</v>
      </c>
      <c r="G18" s="19"/>
      <c r="K18" s="85"/>
      <c r="N18" s="108"/>
    </row>
    <row r="19" spans="2:14" ht="46.5" x14ac:dyDescent="0.3">
      <c r="B19" s="111" t="s">
        <v>78</v>
      </c>
      <c r="C19" s="15">
        <f ca="1">((('📊 Summary'!$I$8*5)+('📊 Summary'!$I$9*2))/24)*Working!C17</f>
        <v>10.6875</v>
      </c>
      <c r="D19" s="15">
        <f ca="1">((('📊 Summary'!$I$8*5)+('📊 Summary'!$I$9*2))/24)*Working!D17</f>
        <v>10.6875</v>
      </c>
      <c r="E19" s="20"/>
      <c r="F19" s="15">
        <f ca="1">((('📊 Summary'!$I$8*5)+('📊 Summary'!$I$9*2))/24)*Working!F17</f>
        <v>38.169642857142861</v>
      </c>
      <c r="G19" s="19"/>
      <c r="K19" s="85"/>
      <c r="N19" s="108"/>
    </row>
    <row r="20" spans="2:14" ht="46.5" x14ac:dyDescent="0.3">
      <c r="B20" s="113" t="s">
        <v>79</v>
      </c>
      <c r="C20" s="9">
        <f ca="1">C21+C22</f>
        <v>3.7108506944444448</v>
      </c>
      <c r="D20" s="9">
        <f>D21+D22</f>
        <v>0</v>
      </c>
      <c r="E20" s="20">
        <f t="shared" ref="E20:E22" ca="1" si="0">IF((D20-C20)/C20&gt;0,"+"&amp;ROUND(((D20-C20)/C20)*100,0)&amp;"%",ROUND(((D20-C20)/C20),2))</f>
        <v>-1</v>
      </c>
      <c r="F20" s="9">
        <f>F21+F22</f>
        <v>16.963888888888889</v>
      </c>
      <c r="G20" s="19" t="str">
        <f t="shared" ref="G20:G22" si="1">IFERROR(IF((F20-D20)/F20&gt;0,"+"&amp;ROUND(((F20-D20)/F20)*100,0)&amp;"%",ROUND(((F20-D20)/F20),2)),"-")</f>
        <v>+100%</v>
      </c>
    </row>
    <row r="21" spans="2:14" ht="31" x14ac:dyDescent="0.3">
      <c r="B21" s="114" t="s">
        <v>82</v>
      </c>
      <c r="C21" s="15">
        <f ca="1">((TODAY()-'📝 Instructions'!F8)/('📝 Instructions'!F9-'📝 Instructions'!F8-'📊 Summary'!I11-'📊 Summary'!I12))*'⏱ Input'!T4</f>
        <v>1.7512152777777779</v>
      </c>
      <c r="D21" s="15">
        <f>SUMIF(Master_Data[Lectures],"d",Master_Data[Duration (hh:mm)])</f>
        <v>0</v>
      </c>
      <c r="E21" s="20">
        <f t="shared" ca="1" si="0"/>
        <v>-1</v>
      </c>
      <c r="F21" s="15">
        <f>SUMIF(Master_Data[Lectures],"u",Master_Data[Duration (hh:mm)])</f>
        <v>8.0055555555555564</v>
      </c>
      <c r="G21" s="19" t="str">
        <f t="shared" si="1"/>
        <v>+100%</v>
      </c>
    </row>
    <row r="22" spans="2:14" ht="46.5" x14ac:dyDescent="0.3">
      <c r="B22" s="114" t="s">
        <v>86</v>
      </c>
      <c r="C22" s="15">
        <f ca="1">C16*('📊 Summary'!$I$10/24)</f>
        <v>1.9596354166666667</v>
      </c>
      <c r="D22" s="15">
        <f>D16*('📊 Summary'!$I$10/24)</f>
        <v>0</v>
      </c>
      <c r="E22" s="20">
        <f t="shared" ca="1" si="0"/>
        <v>-1</v>
      </c>
      <c r="F22" s="15">
        <f>F16*('📊 Summary'!$I$10/24)</f>
        <v>8.9583333333333339</v>
      </c>
      <c r="G22" s="19" t="str">
        <f t="shared" si="1"/>
        <v>+100%</v>
      </c>
    </row>
    <row r="23" spans="2:14" ht="31" x14ac:dyDescent="0.3">
      <c r="B23" s="113" t="s">
        <v>80</v>
      </c>
      <c r="C23" s="15"/>
      <c r="D23" s="15"/>
      <c r="E23" s="20"/>
      <c r="F23" s="15"/>
      <c r="G23" s="19"/>
    </row>
    <row r="24" spans="2:14" ht="31" x14ac:dyDescent="0.3">
      <c r="B24" s="113" t="s">
        <v>87</v>
      </c>
      <c r="C24" s="130">
        <f ca="1">C16/C$17</f>
        <v>1.0451388888888888</v>
      </c>
      <c r="D24" s="130">
        <f ca="1">D16/D$17</f>
        <v>0</v>
      </c>
      <c r="E24" s="20">
        <f t="shared" ref="E24:E27" ca="1" si="2">IF((D24-C24)/C24&gt;0,"+"&amp;ROUND(((D24-C24)/C24)*100,0)&amp;"%",ROUND(((D24-C24)/C24),2))</f>
        <v>-1</v>
      </c>
      <c r="F24" s="130">
        <f ca="1">IFERROR(F16/F$17,"-")</f>
        <v>1.3377777777777777</v>
      </c>
      <c r="G24" s="19" t="str">
        <f ca="1">IFERROR(IF((F24-D24)/F24&gt;0,"+"&amp;ROUND(((F24-D24)/F24)*100,0)&amp;"%",ROUND(((F24-D24)/F24),2)),"-")</f>
        <v>+100%</v>
      </c>
      <c r="H24" s="131"/>
    </row>
    <row r="25" spans="2:14" ht="31" x14ac:dyDescent="0.3">
      <c r="B25" s="113" t="s">
        <v>83</v>
      </c>
      <c r="C25" s="9">
        <f ca="1">C26+C27</f>
        <v>0.41231674382716049</v>
      </c>
      <c r="D25" s="9">
        <f ca="1">D26+D27</f>
        <v>0</v>
      </c>
      <c r="E25" s="20">
        <f t="shared" ca="1" si="2"/>
        <v>-1</v>
      </c>
      <c r="F25" s="9">
        <f ca="1">IFERROR(F26+F27,"-")</f>
        <v>0.52776543209876547</v>
      </c>
      <c r="G25" s="19" t="str">
        <f t="shared" ref="G25:G27" ca="1" si="3">IFERROR(IF((F25-D25)/F25&gt;0,"+"&amp;ROUND(((F25-D25)/F25)*100,0)&amp;"%",ROUND(((F25-D25)/F25),2)),"-")</f>
        <v>+100%</v>
      </c>
    </row>
    <row r="26" spans="2:14" ht="31" x14ac:dyDescent="0.3">
      <c r="B26" s="114" t="s">
        <v>82</v>
      </c>
      <c r="C26" s="15">
        <f ca="1">C21/C$17</f>
        <v>0.19457947530864197</v>
      </c>
      <c r="D26" s="15">
        <f ca="1">D21/D$17</f>
        <v>0</v>
      </c>
      <c r="E26" s="20">
        <f t="shared" ca="1" si="2"/>
        <v>-1</v>
      </c>
      <c r="F26" s="15">
        <f ca="1">IFERROR(F21/F$17,"-")</f>
        <v>0.24906172839506174</v>
      </c>
      <c r="G26" s="19" t="str">
        <f t="shared" ca="1" si="3"/>
        <v>+100%</v>
      </c>
    </row>
    <row r="27" spans="2:14" ht="46.5" x14ac:dyDescent="0.3">
      <c r="B27" s="114" t="s">
        <v>86</v>
      </c>
      <c r="C27" s="15">
        <f ca="1">C22/C$17</f>
        <v>0.21773726851851852</v>
      </c>
      <c r="D27" s="15">
        <f ca="1">D22/D$17</f>
        <v>0</v>
      </c>
      <c r="E27" s="20">
        <f t="shared" ca="1" si="2"/>
        <v>-1</v>
      </c>
      <c r="F27" s="15">
        <f ca="1">IFERROR(F22/F$17,"-")</f>
        <v>0.27870370370370368</v>
      </c>
      <c r="G27" s="19" t="str">
        <f t="shared" ca="1" si="3"/>
        <v>+100%</v>
      </c>
    </row>
    <row r="28" spans="2:14" ht="31" x14ac:dyDescent="0.3">
      <c r="B28" s="113" t="s">
        <v>81</v>
      </c>
      <c r="C28" s="15"/>
      <c r="D28" s="15"/>
      <c r="E28" s="20"/>
      <c r="F28" s="15"/>
      <c r="G28" s="19"/>
    </row>
    <row r="29" spans="2:14" ht="31" x14ac:dyDescent="0.3">
      <c r="B29" s="113" t="s">
        <v>87</v>
      </c>
      <c r="C29" s="130">
        <f ca="1">C16/C$18</f>
        <v>0.14930555555555555</v>
      </c>
      <c r="D29" s="130">
        <f ca="1">D16/D$18</f>
        <v>0</v>
      </c>
      <c r="E29" s="20">
        <f t="shared" ref="E29:E32" ca="1" si="4">IF((D29-C29)/C29&gt;0,"+"&amp;ROUND(((D29-C29)/C29)*100,0)&amp;"%",ROUND(((D29-C29)/C29),2))</f>
        <v>-1</v>
      </c>
      <c r="F29" s="130">
        <f ca="1">IFERROR(F16/F$18,"-")</f>
        <v>0.19111111111111112</v>
      </c>
      <c r="G29" s="19" t="str">
        <f t="shared" ref="G29:G32" ca="1" si="5">IFERROR(IF((F29-D29)/F29&gt;0,"+"&amp;ROUND(((F29-D29)/F29)*100,0)&amp;"%",ROUND(((F29-D29)/F29),2)),"-")</f>
        <v>+100%</v>
      </c>
    </row>
    <row r="30" spans="2:14" ht="31" x14ac:dyDescent="0.3">
      <c r="B30" s="113" t="s">
        <v>83</v>
      </c>
      <c r="C30" s="9">
        <f ca="1">C31+C32</f>
        <v>5.8902391975308645E-2</v>
      </c>
      <c r="D30" s="9">
        <f ca="1">D31+D32</f>
        <v>0</v>
      </c>
      <c r="E30" s="20">
        <f t="shared" ca="1" si="4"/>
        <v>-1</v>
      </c>
      <c r="F30" s="9">
        <f ca="1">IFERROR(F31+F32,"-")</f>
        <v>7.5395061728395066E-2</v>
      </c>
      <c r="G30" s="19" t="str">
        <f t="shared" ca="1" si="5"/>
        <v>+100%</v>
      </c>
    </row>
    <row r="31" spans="2:14" ht="31" x14ac:dyDescent="0.3">
      <c r="B31" s="114" t="s">
        <v>82</v>
      </c>
      <c r="C31" s="15">
        <f ca="1">C21/C$18</f>
        <v>2.7797067901234568E-2</v>
      </c>
      <c r="D31" s="15">
        <f ca="1">D21/D$18</f>
        <v>0</v>
      </c>
      <c r="E31" s="20">
        <f t="shared" ca="1" si="4"/>
        <v>-1</v>
      </c>
      <c r="F31" s="15">
        <f ca="1">IFERROR(F21/F$18,"-")</f>
        <v>3.5580246913580249E-2</v>
      </c>
      <c r="G31" s="19" t="str">
        <f t="shared" ca="1" si="5"/>
        <v>+100%</v>
      </c>
    </row>
    <row r="32" spans="2:14" ht="46.5" x14ac:dyDescent="0.3">
      <c r="B32" s="114" t="s">
        <v>86</v>
      </c>
      <c r="C32" s="15">
        <f ca="1">C22/C$18</f>
        <v>3.1105324074074077E-2</v>
      </c>
      <c r="D32" s="15">
        <f ca="1">D22/D$18</f>
        <v>0</v>
      </c>
      <c r="E32" s="20">
        <f t="shared" ca="1" si="4"/>
        <v>-1</v>
      </c>
      <c r="F32" s="15">
        <f ca="1">IFERROR(F22/F$18,"-")</f>
        <v>3.9814814814814817E-2</v>
      </c>
      <c r="G32" s="19" t="str">
        <f t="shared" ca="1" si="5"/>
        <v>+100%</v>
      </c>
    </row>
    <row r="33" spans="2:7" ht="15.5" x14ac:dyDescent="0.3">
      <c r="B33" s="115"/>
      <c r="C33" s="89"/>
      <c r="D33" s="89"/>
      <c r="E33" s="116"/>
      <c r="F33" s="89"/>
      <c r="G33" s="75"/>
    </row>
    <row r="34" spans="2:7" ht="15.5" x14ac:dyDescent="0.3">
      <c r="B34" s="125" t="s">
        <v>72</v>
      </c>
      <c r="C34" s="125"/>
      <c r="D34" s="89"/>
      <c r="E34" s="116"/>
      <c r="F34" s="89"/>
      <c r="G34" s="75"/>
    </row>
    <row r="35" spans="2:7" ht="15.5" x14ac:dyDescent="0.3">
      <c r="B35" s="126" t="s">
        <v>68</v>
      </c>
      <c r="C35" s="89">
        <f ca="1">(C42*((('📊 Summary'!I8*5)/24)/((('📊 Summary'!I8*5)+('📊 Summary'!I9*2))/24)))/5</f>
        <v>4.6295213341996967E-2</v>
      </c>
      <c r="D35" s="89"/>
      <c r="E35" s="116"/>
      <c r="F35" s="89"/>
      <c r="G35" s="75"/>
    </row>
    <row r="36" spans="2:7" ht="15.5" x14ac:dyDescent="0.3">
      <c r="B36" s="126" t="s">
        <v>69</v>
      </c>
      <c r="C36" s="89">
        <f ca="1">(C42*((('📊 Summary'!I9*2)/24)/((('📊 Summary'!I8*5)+('📊 Summary'!I9*2))/24)))/2</f>
        <v>0.14814468269439027</v>
      </c>
      <c r="D36" s="89"/>
      <c r="E36" s="116"/>
      <c r="F36" s="89"/>
      <c r="G36" s="75"/>
    </row>
    <row r="37" spans="2:7" ht="15.5" x14ac:dyDescent="0.3">
      <c r="B37" s="127"/>
      <c r="C37" s="127"/>
      <c r="D37" s="89"/>
      <c r="E37" s="116"/>
      <c r="F37" s="89"/>
      <c r="G37" s="75"/>
    </row>
    <row r="38" spans="2:7" ht="15.5" x14ac:dyDescent="0.3">
      <c r="B38" s="125" t="s">
        <v>70</v>
      </c>
      <c r="C38" s="89"/>
      <c r="D38" s="89"/>
      <c r="E38" s="116"/>
      <c r="F38" s="89"/>
      <c r="G38" s="75"/>
    </row>
    <row r="39" spans="2:7" ht="15.5" x14ac:dyDescent="0.3">
      <c r="B39" s="128" t="s">
        <v>65</v>
      </c>
      <c r="C39" s="89">
        <f>F21</f>
        <v>8.0055555555555564</v>
      </c>
      <c r="D39" s="89"/>
      <c r="E39" s="116"/>
      <c r="F39" s="89"/>
      <c r="G39" s="75"/>
    </row>
    <row r="40" spans="2:7" ht="15.5" x14ac:dyDescent="0.3">
      <c r="B40" s="128" t="s">
        <v>29</v>
      </c>
      <c r="C40" s="89">
        <f>F22</f>
        <v>8.9583333333333339</v>
      </c>
      <c r="D40" s="89"/>
      <c r="E40" s="116"/>
      <c r="F40" s="89"/>
      <c r="G40" s="75"/>
    </row>
    <row r="41" spans="2:7" ht="15.5" x14ac:dyDescent="0.3">
      <c r="B41" s="126" t="s">
        <v>66</v>
      </c>
      <c r="C41" s="129">
        <f>SUM(C39:C40)</f>
        <v>16.963888888888889</v>
      </c>
      <c r="D41" s="89"/>
      <c r="E41" s="116"/>
      <c r="F41" s="89"/>
      <c r="G41" s="75"/>
    </row>
    <row r="42" spans="2:7" ht="15.5" x14ac:dyDescent="0.3">
      <c r="B42" s="126" t="s">
        <v>71</v>
      </c>
      <c r="C42" s="89">
        <f ca="1">C41/F17</f>
        <v>0.52776543209876536</v>
      </c>
      <c r="D42" s="89"/>
      <c r="E42" s="116"/>
      <c r="F42" s="89"/>
      <c r="G42" s="75"/>
    </row>
    <row r="43" spans="2:7" ht="15.5" x14ac:dyDescent="0.3">
      <c r="B43" s="115"/>
      <c r="C43" s="89"/>
      <c r="D43" s="89"/>
      <c r="E43" s="116"/>
      <c r="F43" s="89"/>
      <c r="G43" s="75"/>
    </row>
    <row r="44" spans="2:7" ht="15.5" x14ac:dyDescent="0.3">
      <c r="B44" s="115"/>
      <c r="C44" s="89"/>
      <c r="D44" s="89"/>
      <c r="E44" s="116"/>
      <c r="F44" s="89"/>
      <c r="G44" s="75"/>
    </row>
    <row r="45" spans="2:7" x14ac:dyDescent="0.3">
      <c r="C45" s="108"/>
      <c r="D45" s="108"/>
    </row>
    <row r="46" spans="2:7" x14ac:dyDescent="0.3">
      <c r="B46" s="117" t="s">
        <v>16</v>
      </c>
      <c r="C46" s="84"/>
      <c r="D46" s="84"/>
      <c r="E46" s="84"/>
    </row>
    <row r="47" spans="2:7" x14ac:dyDescent="0.3">
      <c r="B47" s="84" t="s">
        <v>18</v>
      </c>
      <c r="C47" s="118">
        <f>D47/$D$51</f>
        <v>0</v>
      </c>
      <c r="D47" s="84">
        <f>SUMIFS(Master_Data[No. of chapters],Master_Data[Lectures],"d",Master_Data[Self Study],"d")</f>
        <v>0</v>
      </c>
      <c r="E47" s="118" t="str">
        <f>IF(C47=0,"",CONCATENATE(B47,", ",ROUND(D47,0)))</f>
        <v/>
      </c>
    </row>
    <row r="48" spans="2:7" x14ac:dyDescent="0.3">
      <c r="B48" s="84" t="s">
        <v>151</v>
      </c>
      <c r="C48" s="118">
        <f t="shared" ref="C48:C51" ca="1" si="6">D48/$D$51</f>
        <v>0</v>
      </c>
      <c r="D48" s="119">
        <f ca="1">IF(C16&lt;D16,D16-C16,0)</f>
        <v>0</v>
      </c>
      <c r="E48" s="118" t="str">
        <f t="shared" ref="E48:E50" ca="1" si="7">IF(C48=0,"",CONCATENATE(B48,", ",ROUND(D48,0)))</f>
        <v/>
      </c>
    </row>
    <row r="49" spans="2:14" x14ac:dyDescent="0.3">
      <c r="B49" s="84" t="s">
        <v>152</v>
      </c>
      <c r="C49" s="118">
        <f t="shared" ca="1" si="6"/>
        <v>0.21875</v>
      </c>
      <c r="D49" s="119">
        <f ca="1">IF(C16&gt;D16,C16-D16,0)</f>
        <v>9.40625</v>
      </c>
      <c r="E49" s="118" t="str">
        <f t="shared" ca="1" si="7"/>
        <v>Extra Undone, 9</v>
      </c>
    </row>
    <row r="50" spans="2:14" x14ac:dyDescent="0.3">
      <c r="B50" s="84" t="s">
        <v>19</v>
      </c>
      <c r="C50" s="118">
        <f t="shared" ca="1" si="6"/>
        <v>0.78125</v>
      </c>
      <c r="D50" s="120">
        <f ca="1">D51-D47-D49</f>
        <v>33.59375</v>
      </c>
      <c r="E50" s="118" t="str">
        <f t="shared" ca="1" si="7"/>
        <v>Undone, 34</v>
      </c>
    </row>
    <row r="51" spans="2:14" x14ac:dyDescent="0.3">
      <c r="B51" s="84" t="s">
        <v>7</v>
      </c>
      <c r="C51" s="118">
        <f t="shared" si="6"/>
        <v>1</v>
      </c>
      <c r="D51" s="120">
        <f>'⏱ Input'!V4</f>
        <v>43</v>
      </c>
      <c r="E51" s="118"/>
    </row>
    <row r="53" spans="2:14" x14ac:dyDescent="0.3">
      <c r="B53" s="117" t="s">
        <v>149</v>
      </c>
      <c r="C53" s="84"/>
      <c r="D53" s="84"/>
      <c r="E53" s="84"/>
      <c r="N53" s="121"/>
    </row>
    <row r="54" spans="2:14" x14ac:dyDescent="0.3">
      <c r="B54" s="84" t="s">
        <v>18</v>
      </c>
      <c r="C54" s="118">
        <f>D54/$D$58</f>
        <v>0</v>
      </c>
      <c r="D54" s="133">
        <f>'⏱ Input'!T5</f>
        <v>0</v>
      </c>
      <c r="E54" s="84" t="str">
        <f>IF(C54=0,"",CONCATENATE(B54,", ",TEXT(D54,"[h]")))</f>
        <v/>
      </c>
      <c r="G54" s="121"/>
    </row>
    <row r="55" spans="2:14" x14ac:dyDescent="0.3">
      <c r="B55" s="84" t="s">
        <v>151</v>
      </c>
      <c r="C55" s="118">
        <f t="shared" ref="C55:C58" ca="1" si="8">D55/$D$58</f>
        <v>0</v>
      </c>
      <c r="D55" s="133">
        <f ca="1">IF(C21&lt;D21,D21-C21,0)</f>
        <v>0</v>
      </c>
      <c r="E55" s="118" t="str">
        <f ca="1">IF(C55=0,"",CONCATENATE(B55,", ",TEXT(D55,"[h]")))</f>
        <v/>
      </c>
    </row>
    <row r="56" spans="2:14" x14ac:dyDescent="0.3">
      <c r="B56" s="84" t="s">
        <v>152</v>
      </c>
      <c r="C56" s="118">
        <f t="shared" ca="1" si="8"/>
        <v>0.21875</v>
      </c>
      <c r="D56" s="133">
        <f ca="1">IF(C21&gt;D21,C21-D21,0)</f>
        <v>1.7512152777777779</v>
      </c>
      <c r="E56" s="118" t="str">
        <f ca="1">IF(C56=0,"",CONCATENATE(B56,", ",TEXT(D56,"[h]")))</f>
        <v>Extra Undone, 42</v>
      </c>
    </row>
    <row r="57" spans="2:14" x14ac:dyDescent="0.3">
      <c r="B57" s="84" t="s">
        <v>19</v>
      </c>
      <c r="C57" s="118">
        <f t="shared" ca="1" si="8"/>
        <v>0.78125</v>
      </c>
      <c r="D57" s="133">
        <f ca="1">D58-D54-D56</f>
        <v>6.2543402777777786</v>
      </c>
      <c r="E57" s="118" t="str">
        <f ca="1">IF(C57=0,"",CONCATENATE(B57,", ",TEXT(D57,"[h]")))</f>
        <v>Undone, 150</v>
      </c>
    </row>
    <row r="58" spans="2:14" x14ac:dyDescent="0.3">
      <c r="B58" s="84" t="s">
        <v>7</v>
      </c>
      <c r="C58" s="118">
        <f t="shared" si="8"/>
        <v>1</v>
      </c>
      <c r="D58" s="133">
        <f>'⏱ Input'!T4</f>
        <v>8.0055555555555564</v>
      </c>
      <c r="E58" s="118"/>
    </row>
    <row r="60" spans="2:14" x14ac:dyDescent="0.3">
      <c r="B60" s="117" t="s">
        <v>150</v>
      </c>
      <c r="C60" s="84"/>
      <c r="D60" s="84"/>
      <c r="E60" s="84"/>
    </row>
    <row r="61" spans="2:14" x14ac:dyDescent="0.3">
      <c r="B61" s="84" t="s">
        <v>18</v>
      </c>
      <c r="C61" s="118">
        <f>D61/$D$65</f>
        <v>0</v>
      </c>
      <c r="D61" s="133">
        <f>'⏱ Input'!W5*('📊 Summary'!I10/24)</f>
        <v>0</v>
      </c>
      <c r="E61" s="118" t="str">
        <f>IF(C61=0,"",CONCATENATE(B61,", ",TEXT(D61,"[h]")))</f>
        <v/>
      </c>
    </row>
    <row r="62" spans="2:14" x14ac:dyDescent="0.3">
      <c r="B62" s="84" t="s">
        <v>151</v>
      </c>
      <c r="C62" s="118">
        <f t="shared" ref="C62:C65" ca="1" si="9">D62/$D$65</f>
        <v>0</v>
      </c>
      <c r="D62" s="133">
        <f ca="1">IF(C22&lt;D22,D22-C22,0)</f>
        <v>0</v>
      </c>
      <c r="E62" s="118" t="str">
        <f ca="1">IF(C62=0,"",CONCATENATE(B62,", ",TEXT(D62,"[h]")))</f>
        <v/>
      </c>
    </row>
    <row r="63" spans="2:14" x14ac:dyDescent="0.3">
      <c r="B63" s="84" t="s">
        <v>152</v>
      </c>
      <c r="C63" s="118">
        <f t="shared" ca="1" si="9"/>
        <v>0.21875</v>
      </c>
      <c r="D63" s="133">
        <f ca="1">IF(C22&gt;D22,C22-D22,0)</f>
        <v>1.9596354166666667</v>
      </c>
      <c r="E63" s="118" t="str">
        <f ca="1">IF(C63=0,"",CONCATENATE(B63,", ",TEXT(D63,"[h]")))</f>
        <v>Extra Undone, 47</v>
      </c>
    </row>
    <row r="64" spans="2:14" x14ac:dyDescent="0.3">
      <c r="B64" s="84" t="s">
        <v>19</v>
      </c>
      <c r="C64" s="118">
        <f t="shared" ca="1" si="9"/>
        <v>0.78125</v>
      </c>
      <c r="D64" s="133">
        <f ca="1">D65-D61-D63</f>
        <v>6.998697916666667</v>
      </c>
      <c r="E64" s="118" t="str">
        <f ca="1">IF(C64=0,"",CONCATENATE(B64,", ",TEXT(D64,"[h]")))</f>
        <v>Undone, 167</v>
      </c>
    </row>
    <row r="65" spans="2:5" x14ac:dyDescent="0.3">
      <c r="B65" s="84" t="s">
        <v>7</v>
      </c>
      <c r="C65" s="118">
        <f t="shared" si="9"/>
        <v>1</v>
      </c>
      <c r="D65" s="133">
        <f>'⏱ Input'!V4*('📊 Summary'!I10/24)</f>
        <v>8.9583333333333339</v>
      </c>
      <c r="E65" s="118"/>
    </row>
    <row r="66" spans="2:5" x14ac:dyDescent="0.3">
      <c r="C66" s="131"/>
      <c r="D66" s="132"/>
      <c r="E66" s="131"/>
    </row>
    <row r="67" spans="2:5" x14ac:dyDescent="0.3">
      <c r="B67" s="117" t="s">
        <v>161</v>
      </c>
      <c r="C67" s="84"/>
      <c r="D67" s="84"/>
      <c r="E67" s="84"/>
    </row>
    <row r="68" spans="2:5" x14ac:dyDescent="0.3">
      <c r="B68" s="84" t="s">
        <v>18</v>
      </c>
      <c r="C68" s="118">
        <f>D68/$D$72</f>
        <v>0</v>
      </c>
      <c r="D68" s="133">
        <f>D20</f>
        <v>0</v>
      </c>
      <c r="E68" s="118" t="str">
        <f>IF(C68=0,"",CONCATENATE(B68,", ",TEXT(D68,"[h]")))</f>
        <v/>
      </c>
    </row>
    <row r="69" spans="2:5" x14ac:dyDescent="0.3">
      <c r="B69" s="84" t="s">
        <v>151</v>
      </c>
      <c r="C69" s="118">
        <f t="shared" ref="C69:C72" ca="1" si="10">D69/$D$72</f>
        <v>0</v>
      </c>
      <c r="D69" s="133">
        <f ca="1">IF(C20&lt;D20,D20-C20,0)</f>
        <v>0</v>
      </c>
      <c r="E69" s="118" t="str">
        <f ca="1">IF(C69=0,"",CONCATENATE(B69,", ",TEXT(D69,"[h]")))</f>
        <v/>
      </c>
    </row>
    <row r="70" spans="2:5" x14ac:dyDescent="0.3">
      <c r="B70" s="84" t="s">
        <v>152</v>
      </c>
      <c r="C70" s="118">
        <f t="shared" ca="1" si="10"/>
        <v>0.21875000000000003</v>
      </c>
      <c r="D70" s="133">
        <f ca="1">IF(C20&gt;D20,C20-D20,0)</f>
        <v>3.7108506944444448</v>
      </c>
      <c r="E70" s="118" t="str">
        <f ca="1">IF(C70=0,"",CONCATENATE(B70,", ",TEXT(D70,"[h]")))</f>
        <v>Extra Undone, 89</v>
      </c>
    </row>
    <row r="71" spans="2:5" x14ac:dyDescent="0.3">
      <c r="B71" s="84" t="s">
        <v>19</v>
      </c>
      <c r="C71" s="118">
        <f t="shared" ca="1" si="10"/>
        <v>0.78124999999999989</v>
      </c>
      <c r="D71" s="133">
        <f ca="1">D72-D68-D70</f>
        <v>13.253038194444443</v>
      </c>
      <c r="E71" s="118" t="str">
        <f ca="1">IF(C71=0,"",CONCATENATE(B71,", ",TEXT(D71,"[h]")))</f>
        <v>Undone, 318</v>
      </c>
    </row>
    <row r="72" spans="2:5" x14ac:dyDescent="0.3">
      <c r="B72" s="84" t="s">
        <v>7</v>
      </c>
      <c r="C72" s="118">
        <f t="shared" si="10"/>
        <v>1</v>
      </c>
      <c r="D72" s="133">
        <f t="shared" ref="D72" si="11">D58+D65</f>
        <v>16.963888888888889</v>
      </c>
      <c r="E72" s="118"/>
    </row>
    <row r="73" spans="2:5" x14ac:dyDescent="0.3">
      <c r="C73" s="131"/>
      <c r="D73" s="132"/>
      <c r="E73" s="131"/>
    </row>
    <row r="74" spans="2:5" x14ac:dyDescent="0.3">
      <c r="C74" s="131"/>
      <c r="D74" s="132"/>
      <c r="E74" s="131"/>
    </row>
    <row r="75" spans="2:5" x14ac:dyDescent="0.3">
      <c r="C75" s="131"/>
      <c r="D75" s="132"/>
      <c r="E75" s="131"/>
    </row>
    <row r="77" spans="2:5" x14ac:dyDescent="0.3">
      <c r="B77" s="122" t="s">
        <v>144</v>
      </c>
      <c r="C77" s="85" t="s">
        <v>230</v>
      </c>
    </row>
    <row r="78" spans="2:5" x14ac:dyDescent="0.3">
      <c r="B78" s="123" t="s">
        <v>6</v>
      </c>
      <c r="C78" s="316">
        <v>43</v>
      </c>
    </row>
    <row r="79" spans="2:5" x14ac:dyDescent="0.3">
      <c r="B79" s="123" t="s">
        <v>145</v>
      </c>
      <c r="C79" s="316">
        <v>43</v>
      </c>
    </row>
    <row r="80" spans="2:5" ht="14.5" x14ac:dyDescent="0.35">
      <c r="B80"/>
      <c r="C80"/>
    </row>
    <row r="82" spans="2:3" x14ac:dyDescent="0.3">
      <c r="B82" s="122" t="s">
        <v>144</v>
      </c>
      <c r="C82" s="85" t="s">
        <v>230</v>
      </c>
    </row>
    <row r="83" spans="2:3" x14ac:dyDescent="0.3">
      <c r="B83" s="123" t="s">
        <v>6</v>
      </c>
      <c r="C83" s="316">
        <v>43</v>
      </c>
    </row>
    <row r="84" spans="2:3" x14ac:dyDescent="0.3">
      <c r="B84" s="123" t="s">
        <v>145</v>
      </c>
      <c r="C84" s="316">
        <v>43</v>
      </c>
    </row>
    <row r="85" spans="2:3" ht="14.5" x14ac:dyDescent="0.35">
      <c r="B85"/>
      <c r="C85"/>
    </row>
    <row r="87" spans="2:3" x14ac:dyDescent="0.3">
      <c r="B87" s="122" t="s">
        <v>144</v>
      </c>
      <c r="C87" s="85" t="s">
        <v>230</v>
      </c>
    </row>
    <row r="88" spans="2:3" x14ac:dyDescent="0.3">
      <c r="B88" s="123" t="s">
        <v>6</v>
      </c>
      <c r="C88" s="316">
        <v>43</v>
      </c>
    </row>
    <row r="89" spans="2:3" x14ac:dyDescent="0.3">
      <c r="B89" s="123" t="s">
        <v>145</v>
      </c>
      <c r="C89" s="316">
        <v>43</v>
      </c>
    </row>
    <row r="90" spans="2:3" ht="14.5" x14ac:dyDescent="0.35">
      <c r="B90"/>
      <c r="C90"/>
    </row>
    <row r="92" spans="2:3" x14ac:dyDescent="0.3">
      <c r="B92" s="122" t="s">
        <v>144</v>
      </c>
      <c r="C92" s="85" t="s">
        <v>230</v>
      </c>
    </row>
    <row r="93" spans="2:3" x14ac:dyDescent="0.3">
      <c r="B93" s="123" t="s">
        <v>6</v>
      </c>
      <c r="C93" s="316">
        <v>43</v>
      </c>
    </row>
    <row r="94" spans="2:3" x14ac:dyDescent="0.3">
      <c r="B94" s="123" t="s">
        <v>145</v>
      </c>
      <c r="C94" s="316">
        <v>43</v>
      </c>
    </row>
    <row r="95" spans="2:3" ht="14.5" x14ac:dyDescent="0.35">
      <c r="B95"/>
      <c r="C95"/>
    </row>
    <row r="97" spans="2:3" x14ac:dyDescent="0.3">
      <c r="B97" s="122" t="s">
        <v>144</v>
      </c>
      <c r="C97" s="85" t="s">
        <v>230</v>
      </c>
    </row>
    <row r="98" spans="2:3" x14ac:dyDescent="0.3">
      <c r="B98" s="123" t="s">
        <v>6</v>
      </c>
      <c r="C98" s="316">
        <v>43</v>
      </c>
    </row>
    <row r="99" spans="2:3" x14ac:dyDescent="0.3">
      <c r="B99" s="123" t="s">
        <v>145</v>
      </c>
      <c r="C99" s="316">
        <v>43</v>
      </c>
    </row>
    <row r="100" spans="2:3" ht="14.5" x14ac:dyDescent="0.35">
      <c r="B100"/>
      <c r="C100"/>
    </row>
  </sheetData>
  <mergeCells count="2">
    <mergeCell ref="B14:B15"/>
    <mergeCell ref="C14:E14"/>
  </mergeCells>
  <conditionalFormatting sqref="E16:E44">
    <cfRule type="cellIs" dxfId="33" priority="19" operator="lessThan">
      <formula>0</formula>
    </cfRule>
    <cfRule type="cellIs" dxfId="32" priority="20" operator="greaterThanOrEqual">
      <formula>0.0001</formula>
    </cfRule>
  </conditionalFormatting>
  <conditionalFormatting sqref="G16:G44">
    <cfRule type="cellIs" dxfId="31" priority="1" operator="lessThan">
      <formula>0</formula>
    </cfRule>
    <cfRule type="cellIs" dxfId="3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Siddhi Mukim</cp:lastModifiedBy>
  <cp:lastPrinted>2022-06-28T06:51:26Z</cp:lastPrinted>
  <dcterms:created xsi:type="dcterms:W3CDTF">2017-08-10T18:49:10Z</dcterms:created>
  <dcterms:modified xsi:type="dcterms:W3CDTF">2024-03-13T05:36:05Z</dcterms:modified>
</cp:coreProperties>
</file>